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340" windowHeight="9120" tabRatio="601" activeTab="0"/>
  </bookViews>
  <sheets>
    <sheet name="BON-NS" sheetId="1" r:id="rId1"/>
    <sheet name="BON-SN" sheetId="2" r:id="rId2"/>
    <sheet name="BSL-NS" sheetId="3" r:id="rId3"/>
    <sheet name="BSL-SN" sheetId="4" r:id="rId4"/>
    <sheet name="BWA-NS" sheetId="5" r:id="rId5"/>
    <sheet name="BWA-SN" sheetId="6" r:id="rId6"/>
    <sheet name="RFA-NS" sheetId="7" r:id="rId7"/>
    <sheet name="RFA-SN" sheetId="8" r:id="rId8"/>
    <sheet name="TTL-NS" sheetId="9" r:id="rId9"/>
    <sheet name="TTL-SN" sheetId="10" r:id="rId10"/>
    <sheet name="TTL-FZ" sheetId="11" r:id="rId11"/>
  </sheets>
  <definedNames>
    <definedName name="_xlnm.Print_Area" localSheetId="0">'BON-NS'!$A$1:$S$44</definedName>
    <definedName name="_xlnm.Print_Area" localSheetId="1">'BON-SN'!$A$1:$S$44</definedName>
    <definedName name="_xlnm.Print_Area" localSheetId="2">'BSL-NS'!$A$1:$S$44</definedName>
    <definedName name="_xlnm.Print_Area" localSheetId="3">'BSL-SN'!$A$1:$S$44</definedName>
    <definedName name="_xlnm.Print_Area" localSheetId="4">'BWA-NS'!$A$1:$S$44</definedName>
    <definedName name="_xlnm.Print_Area" localSheetId="5">'BWA-SN'!$A$1:$S$44</definedName>
    <definedName name="_xlnm.Print_Area" localSheetId="6">'RFA-NS'!$A$1:$S$44</definedName>
    <definedName name="_xlnm.Print_Area" localSheetId="7">'RFA-SN'!$A$1:$S$44</definedName>
    <definedName name="_xlnm.Print_Area" localSheetId="10">'TTL-FZ'!$A$2:$S$46</definedName>
    <definedName name="_xlnm.Print_Area" localSheetId="8">'TTL-NS'!$A$2:$S$44</definedName>
    <definedName name="_xlnm.Print_Area" localSheetId="9">'TTL-SN'!$A$2:$S$44</definedName>
  </definedNames>
  <calcPr fullCalcOnLoad="1"/>
</workbook>
</file>

<file path=xl/sharedStrings.xml><?xml version="1.0" encoding="utf-8"?>
<sst xmlns="http://schemas.openxmlformats.org/spreadsheetml/2006/main" count="650" uniqueCount="38">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</sst>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0.0%"/>
    <numFmt numFmtId="179" formatCode="0.0"/>
    <numFmt numFmtId="180" formatCode="0.0000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_ * #,##0.0_ ;_ * \-#,##0.0_ ;_ * &quot;-&quot;?_ ;_ @_ "/>
    <numFmt numFmtId="185" formatCode="0.0%;[Red]\-0.0%"/>
    <numFmt numFmtId="186" formatCode="&quot;Tage&quot;\ ##0"/>
    <numFmt numFmtId="187" formatCode="##0\ &quot;Tg&quot;"/>
    <numFmt numFmtId="188" formatCode="0.00%;[Red]\-0.00%"/>
    <numFmt numFmtId="189" formatCode="#,##0.0"/>
    <numFmt numFmtId="190" formatCode="#,##0.0;[Red]\-#,##0.0"/>
    <numFmt numFmtId="191" formatCode="#,##0.000;[Red]\-#,##0.000"/>
    <numFmt numFmtId="192" formatCode="#,##0.0000;[Red]\-#,##0.0000"/>
    <numFmt numFmtId="193" formatCode="yy"/>
    <numFmt numFmtId="194" formatCode="yyyy"/>
    <numFmt numFmtId="195" formatCode="#,##0.0_ ;[Red]\-#,##0.0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0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34" borderId="12" xfId="0" applyNumberFormat="1" applyFont="1" applyFill="1" applyBorder="1" applyAlignment="1" applyProtection="1">
      <alignment/>
      <protection hidden="1"/>
    </xf>
    <xf numFmtId="0" fontId="5" fillId="35" borderId="13" xfId="0" applyNumberFormat="1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8" fontId="2" fillId="36" borderId="16" xfId="0" applyNumberFormat="1" applyFont="1" applyFill="1" applyBorder="1" applyAlignment="1" applyProtection="1">
      <alignment/>
      <protection hidden="1"/>
    </xf>
    <xf numFmtId="38" fontId="2" fillId="36" borderId="19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9" fontId="2" fillId="0" borderId="0" xfId="51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38" fontId="2" fillId="0" borderId="22" xfId="0" applyNumberFormat="1" applyFont="1" applyFill="1" applyBorder="1" applyAlignment="1" applyProtection="1">
      <alignment/>
      <protection hidden="1"/>
    </xf>
    <xf numFmtId="185" fontId="2" fillId="0" borderId="22" xfId="51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3" fontId="2" fillId="35" borderId="23" xfId="0" applyNumberFormat="1" applyFont="1" applyFill="1" applyBorder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/>
      <protection hidden="1"/>
    </xf>
    <xf numFmtId="3" fontId="2" fillId="35" borderId="19" xfId="0" applyNumberFormat="1" applyFont="1" applyFill="1" applyBorder="1" applyAlignment="1" applyProtection="1">
      <alignment/>
      <protection hidden="1"/>
    </xf>
    <xf numFmtId="3" fontId="2" fillId="35" borderId="23" xfId="0" applyNumberFormat="1" applyFont="1" applyFill="1" applyBorder="1" applyAlignment="1" applyProtection="1">
      <alignment/>
      <protection hidden="1"/>
    </xf>
    <xf numFmtId="3" fontId="2" fillId="0" borderId="22" xfId="0" applyNumberFormat="1" applyFont="1" applyFill="1" applyBorder="1" applyAlignment="1" applyProtection="1">
      <alignment/>
      <protection hidden="1"/>
    </xf>
    <xf numFmtId="3" fontId="2" fillId="34" borderId="16" xfId="0" applyNumberFormat="1" applyFont="1" applyFill="1" applyBorder="1" applyAlignment="1" applyProtection="1">
      <alignment/>
      <protection hidden="1"/>
    </xf>
    <xf numFmtId="3" fontId="2" fillId="34" borderId="23" xfId="0" applyNumberFormat="1" applyFont="1" applyFill="1" applyBorder="1" applyAlignment="1" applyProtection="1">
      <alignment/>
      <protection hidden="1"/>
    </xf>
    <xf numFmtId="3" fontId="2" fillId="34" borderId="19" xfId="0" applyNumberFormat="1" applyFont="1" applyFill="1" applyBorder="1" applyAlignment="1" applyProtection="1">
      <alignment/>
      <protection hidden="1"/>
    </xf>
    <xf numFmtId="3" fontId="1" fillId="34" borderId="24" xfId="0" applyNumberFormat="1" applyFont="1" applyFill="1" applyBorder="1" applyAlignment="1" applyProtection="1">
      <alignment/>
      <protection hidden="1"/>
    </xf>
    <xf numFmtId="3" fontId="1" fillId="35" borderId="25" xfId="0" applyNumberFormat="1" applyFont="1" applyFill="1" applyBorder="1" applyAlignment="1" applyProtection="1">
      <alignment/>
      <protection hidden="1"/>
    </xf>
    <xf numFmtId="38" fontId="1" fillId="36" borderId="25" xfId="0" applyNumberFormat="1" applyFont="1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hidden="1" locked="0"/>
    </xf>
    <xf numFmtId="3" fontId="2" fillId="35" borderId="19" xfId="0" applyNumberFormat="1" applyFont="1" applyFill="1" applyBorder="1" applyAlignment="1" applyProtection="1">
      <alignment/>
      <protection hidden="1" locked="0"/>
    </xf>
    <xf numFmtId="3" fontId="2" fillId="35" borderId="23" xfId="0" applyNumberFormat="1" applyFont="1" applyFill="1" applyBorder="1" applyAlignment="1" applyProtection="1">
      <alignment/>
      <protection hidden="1" locked="0"/>
    </xf>
    <xf numFmtId="0" fontId="1" fillId="34" borderId="28" xfId="0" applyNumberFormat="1" applyFont="1" applyFill="1" applyBorder="1" applyAlignment="1" applyProtection="1">
      <alignment horizontal="right"/>
      <protection hidden="1"/>
    </xf>
    <xf numFmtId="0" fontId="1" fillId="35" borderId="29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88" fontId="2" fillId="36" borderId="30" xfId="51" applyNumberFormat="1" applyFont="1" applyFill="1" applyBorder="1" applyAlignment="1" applyProtection="1">
      <alignment/>
      <protection hidden="1"/>
    </xf>
    <xf numFmtId="188" fontId="2" fillId="0" borderId="22" xfId="51" applyNumberFormat="1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9" fontId="5" fillId="0" borderId="0" xfId="51" applyFont="1" applyBorder="1" applyAlignment="1" applyProtection="1">
      <alignment/>
      <protection hidden="1"/>
    </xf>
    <xf numFmtId="3" fontId="5" fillId="0" borderId="22" xfId="0" applyNumberFormat="1" applyFont="1" applyFill="1" applyBorder="1" applyAlignment="1" applyProtection="1">
      <alignment/>
      <protection hidden="1"/>
    </xf>
    <xf numFmtId="38" fontId="5" fillId="0" borderId="22" xfId="0" applyNumberFormat="1" applyFont="1" applyFill="1" applyBorder="1" applyAlignment="1" applyProtection="1">
      <alignment/>
      <protection hidden="1"/>
    </xf>
    <xf numFmtId="185" fontId="5" fillId="0" borderId="22" xfId="51" applyNumberFormat="1" applyFont="1" applyFill="1" applyBorder="1" applyAlignment="1" applyProtection="1">
      <alignment/>
      <protection hidden="1"/>
    </xf>
    <xf numFmtId="188" fontId="1" fillId="36" borderId="30" xfId="51" applyNumberFormat="1" applyFont="1" applyFill="1" applyBorder="1" applyAlignment="1" applyProtection="1">
      <alignment/>
      <protection hidden="1"/>
    </xf>
    <xf numFmtId="188" fontId="1" fillId="36" borderId="31" xfId="51" applyNumberFormat="1" applyFont="1" applyFill="1" applyBorder="1" applyAlignment="1" applyProtection="1">
      <alignment vertical="center"/>
      <protection hidden="1"/>
    </xf>
    <xf numFmtId="188" fontId="1" fillId="36" borderId="32" xfId="51" applyNumberFormat="1" applyFont="1" applyFill="1" applyBorder="1" applyAlignment="1" applyProtection="1">
      <alignment vertical="center"/>
      <protection hidden="1"/>
    </xf>
    <xf numFmtId="0" fontId="5" fillId="34" borderId="33" xfId="0" applyFont="1" applyFill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/>
      <protection hidden="1"/>
    </xf>
    <xf numFmtId="188" fontId="2" fillId="36" borderId="15" xfId="51" applyNumberFormat="1" applyFont="1" applyFill="1" applyBorder="1" applyAlignment="1" applyProtection="1">
      <alignment/>
      <protection hidden="1"/>
    </xf>
    <xf numFmtId="188" fontId="2" fillId="36" borderId="34" xfId="51" applyNumberFormat="1" applyFont="1" applyFill="1" applyBorder="1" applyAlignment="1" applyProtection="1">
      <alignment/>
      <protection hidden="1"/>
    </xf>
    <xf numFmtId="188" fontId="2" fillId="36" borderId="0" xfId="51" applyNumberFormat="1" applyFont="1" applyFill="1" applyBorder="1" applyAlignment="1" applyProtection="1">
      <alignment/>
      <protection hidden="1"/>
    </xf>
    <xf numFmtId="188" fontId="2" fillId="36" borderId="35" xfId="51" applyNumberFormat="1" applyFont="1" applyFill="1" applyBorder="1" applyAlignment="1" applyProtection="1">
      <alignment/>
      <protection hidden="1"/>
    </xf>
    <xf numFmtId="190" fontId="1" fillId="36" borderId="25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90" fontId="2" fillId="36" borderId="16" xfId="42" applyNumberFormat="1" applyFont="1" applyFill="1" applyBorder="1" applyAlignment="1" applyProtection="1">
      <alignment/>
      <protection hidden="1"/>
    </xf>
    <xf numFmtId="189" fontId="2" fillId="34" borderId="17" xfId="42" applyNumberFormat="1" applyFont="1" applyFill="1" applyBorder="1" applyAlignment="1" applyProtection="1">
      <alignment horizontal="right"/>
      <protection hidden="1"/>
    </xf>
    <xf numFmtId="189" fontId="2" fillId="34" borderId="21" xfId="42" applyNumberFormat="1" applyFont="1" applyFill="1" applyBorder="1" applyAlignment="1" applyProtection="1">
      <alignment horizontal="right"/>
      <protection hidden="1"/>
    </xf>
    <xf numFmtId="189" fontId="1" fillId="34" borderId="24" xfId="0" applyNumberFormat="1" applyFont="1" applyFill="1" applyBorder="1" applyAlignment="1" applyProtection="1">
      <alignment vertical="center"/>
      <protection hidden="1"/>
    </xf>
    <xf numFmtId="189" fontId="2" fillId="35" borderId="16" xfId="42" applyNumberFormat="1" applyFont="1" applyFill="1" applyBorder="1" applyAlignment="1" applyProtection="1">
      <alignment horizontal="right"/>
      <protection hidden="1"/>
    </xf>
    <xf numFmtId="189" fontId="2" fillId="35" borderId="19" xfId="42" applyNumberFormat="1" applyFont="1" applyFill="1" applyBorder="1" applyAlignment="1" applyProtection="1">
      <alignment horizontal="right"/>
      <protection hidden="1"/>
    </xf>
    <xf numFmtId="189" fontId="1" fillId="35" borderId="25" xfId="0" applyNumberFormat="1" applyFont="1" applyFill="1" applyBorder="1" applyAlignment="1" applyProtection="1">
      <alignment vertical="center"/>
      <protection hidden="1"/>
    </xf>
    <xf numFmtId="190" fontId="2" fillId="36" borderId="19" xfId="42" applyNumberFormat="1" applyFont="1" applyFill="1" applyBorder="1" applyAlignment="1" applyProtection="1">
      <alignment/>
      <protection hidden="1"/>
    </xf>
    <xf numFmtId="193" fontId="1" fillId="35" borderId="10" xfId="0" applyNumberFormat="1" applyFont="1" applyFill="1" applyBorder="1" applyAlignment="1" applyProtection="1">
      <alignment horizontal="center"/>
      <protection hidden="1"/>
    </xf>
    <xf numFmtId="193" fontId="1" fillId="34" borderId="36" xfId="0" applyNumberFormat="1" applyFont="1" applyFill="1" applyBorder="1" applyAlignment="1" applyProtection="1">
      <alignment horizontal="center"/>
      <protection hidden="1"/>
    </xf>
    <xf numFmtId="38" fontId="1" fillId="36" borderId="10" xfId="42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0" borderId="22" xfId="0" applyFont="1" applyFill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38" fontId="13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95" fontId="2" fillId="36" borderId="16" xfId="42" applyNumberFormat="1" applyFont="1" applyFill="1" applyBorder="1" applyAlignment="1" applyProtection="1">
      <alignment/>
      <protection hidden="1"/>
    </xf>
    <xf numFmtId="195" fontId="2" fillId="36" borderId="19" xfId="42" applyNumberFormat="1" applyFont="1" applyFill="1" applyBorder="1" applyAlignment="1" applyProtection="1">
      <alignment/>
      <protection hidden="1"/>
    </xf>
    <xf numFmtId="195" fontId="1" fillId="36" borderId="25" xfId="42" applyNumberFormat="1" applyFont="1" applyFill="1" applyBorder="1" applyAlignment="1" applyProtection="1">
      <alignment vertical="center"/>
      <protection hidden="1"/>
    </xf>
    <xf numFmtId="38" fontId="1" fillId="36" borderId="38" xfId="42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5" borderId="27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49" fontId="5" fillId="0" borderId="26" xfId="0" applyNumberFormat="1" applyFont="1" applyFill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1" fillId="36" borderId="40" xfId="0" applyNumberFormat="1" applyFont="1" applyFill="1" applyBorder="1" applyAlignment="1" applyProtection="1">
      <alignment horizontal="center"/>
      <protection hidden="1"/>
    </xf>
    <xf numFmtId="0" fontId="1" fillId="36" borderId="22" xfId="0" applyNumberFormat="1" applyFont="1" applyFill="1" applyBorder="1" applyAlignment="1" applyProtection="1">
      <alignment horizontal="center"/>
      <protection hidden="1"/>
    </xf>
    <xf numFmtId="0" fontId="1" fillId="36" borderId="41" xfId="0" applyNumberFormat="1" applyFont="1" applyFill="1" applyBorder="1" applyAlignment="1" applyProtection="1">
      <alignment horizontal="center"/>
      <protection hidden="1"/>
    </xf>
    <xf numFmtId="0" fontId="7" fillId="37" borderId="26" xfId="0" applyFont="1" applyFill="1" applyBorder="1" applyAlignment="1" applyProtection="1">
      <alignment horizontal="center" vertical="center"/>
      <protection hidden="1"/>
    </xf>
    <xf numFmtId="0" fontId="7" fillId="37" borderId="39" xfId="0" applyFont="1" applyFill="1" applyBorder="1" applyAlignment="1" applyProtection="1">
      <alignment horizontal="center" vertical="center"/>
      <protection hidden="1"/>
    </xf>
    <xf numFmtId="0" fontId="7" fillId="37" borderId="38" xfId="0" applyFont="1" applyFill="1" applyBorder="1" applyAlignment="1" applyProtection="1">
      <alignment horizontal="center" vertical="center"/>
      <protection hidden="1"/>
    </xf>
    <xf numFmtId="0" fontId="1" fillId="38" borderId="26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center" vertical="center"/>
      <protection hidden="1"/>
    </xf>
    <xf numFmtId="0" fontId="1" fillId="38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6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6" fillId="37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 hidden="1"/>
    </xf>
    <xf numFmtId="0" fontId="4" fillId="39" borderId="0" xfId="0" applyFont="1" applyFill="1" applyAlignment="1" applyProtection="1">
      <alignment horizontal="left"/>
      <protection/>
    </xf>
    <xf numFmtId="0" fontId="6" fillId="37" borderId="0" xfId="0" applyFont="1" applyFill="1" applyAlignment="1" applyProtection="1">
      <alignment horizontal="left" vertic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49" fontId="2" fillId="0" borderId="26" xfId="0" applyNumberFormat="1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8" fillId="37" borderId="0" xfId="0" applyFont="1" applyFill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4" fillId="39" borderId="0" xfId="0" applyFont="1" applyFill="1" applyAlignment="1" applyProtection="1">
      <alignment horizontal="left"/>
      <protection hidden="1"/>
    </xf>
    <xf numFmtId="0" fontId="13" fillId="36" borderId="26" xfId="0" applyFont="1" applyFill="1" applyBorder="1" applyAlignment="1" applyProtection="1">
      <alignment horizontal="left"/>
      <protection hidden="1"/>
    </xf>
    <xf numFmtId="0" fontId="13" fillId="36" borderId="39" xfId="0" applyFont="1" applyFill="1" applyBorder="1" applyAlignment="1" applyProtection="1">
      <alignment horizontal="left"/>
      <protection hidden="1"/>
    </xf>
    <xf numFmtId="0" fontId="13" fillId="36" borderId="38" xfId="0" applyFont="1" applyFill="1" applyBorder="1" applyAlignment="1" applyProtection="1">
      <alignment horizontal="left"/>
      <protection hidden="1"/>
    </xf>
    <xf numFmtId="0" fontId="4" fillId="40" borderId="0" xfId="0" applyFont="1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9"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6</xdr:col>
      <xdr:colOff>457200</xdr:colOff>
      <xdr:row>1</xdr:row>
      <xdr:rowOff>133350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466725" y="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381000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6</xdr:col>
      <xdr:colOff>457200</xdr:colOff>
      <xdr:row>1</xdr:row>
      <xdr:rowOff>133350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466725" y="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381000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0</xdr:rowOff>
    </xdr:from>
    <xdr:to>
      <xdr:col>6</xdr:col>
      <xdr:colOff>457200</xdr:colOff>
      <xdr:row>1</xdr:row>
      <xdr:rowOff>133350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466725" y="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381000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tabSelected="1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6" t="s">
        <v>36</v>
      </c>
      <c r="C2" s="126"/>
      <c r="D2" s="126"/>
      <c r="E2" s="126"/>
      <c r="O2" s="5"/>
      <c r="P2" s="5"/>
      <c r="Q2" s="96"/>
    </row>
    <row r="3" spans="1:17" ht="13.5" customHeight="1">
      <c r="A3" s="1"/>
      <c r="B3" s="127" t="s">
        <v>20</v>
      </c>
      <c r="C3" s="127"/>
      <c r="D3" s="128" t="s">
        <v>19</v>
      </c>
      <c r="E3" s="128"/>
      <c r="O3" s="5"/>
      <c r="P3" s="5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v>2012</v>
      </c>
      <c r="C9" s="51"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1534</v>
      </c>
      <c r="C11" s="31">
        <v>1291</v>
      </c>
      <c r="D11" s="21">
        <f>IF(OR(C11="",B11=0),"",C11-B11)</f>
        <v>-243</v>
      </c>
      <c r="E11" s="71">
        <f aca="true" t="shared" si="0" ref="E11:E22">IF(D11="","",D11/B11)</f>
        <v>-0.15840938722294653</v>
      </c>
      <c r="F11" s="38">
        <v>546</v>
      </c>
      <c r="G11" s="31">
        <v>501</v>
      </c>
      <c r="H11" s="21">
        <f>IF(OR(G11="",F11=0),"",G11-F11)</f>
        <v>-45</v>
      </c>
      <c r="I11" s="71">
        <f aca="true" t="shared" si="1" ref="I11:I22">IF(H11="","",H11/F11)</f>
        <v>-0.08241758241758242</v>
      </c>
      <c r="J11" s="38">
        <v>126</v>
      </c>
      <c r="K11" s="31">
        <v>156</v>
      </c>
      <c r="L11" s="21">
        <f>IF(OR(K11="",J11=0),"",K11-J11)</f>
        <v>30</v>
      </c>
      <c r="M11" s="71">
        <f aca="true" t="shared" si="2" ref="M11:M22">IF(L11="","",L11/J11)</f>
        <v>0.23809523809523808</v>
      </c>
      <c r="N11" s="38">
        <f aca="true" t="shared" si="3" ref="N11:N22">SUM(B11,F11,J11)</f>
        <v>2206</v>
      </c>
      <c r="O11" s="34">
        <f aca="true" t="shared" si="4" ref="O11:O22">IF(C11="","",SUM(C11,G11,K11))</f>
        <v>1948</v>
      </c>
      <c r="P11" s="21">
        <f>IF(OR(O11="",N11=0),"",O11-N11)</f>
        <v>-258</v>
      </c>
      <c r="Q11" s="71">
        <f aca="true" t="shared" si="5" ref="Q11:Q22">IF(P11="","",P11/N11)</f>
        <v>-0.11695376246600181</v>
      </c>
    </row>
    <row r="12" spans="1:17" ht="11.25" customHeight="1">
      <c r="A12" s="20" t="s">
        <v>7</v>
      </c>
      <c r="B12" s="38">
        <v>1325</v>
      </c>
      <c r="C12" s="31">
        <v>1573</v>
      </c>
      <c r="D12" s="21">
        <f aca="true" t="shared" si="6" ref="D12:D22">IF(OR(C12="",B12=0),"",C12-B12)</f>
        <v>248</v>
      </c>
      <c r="E12" s="71">
        <f t="shared" si="0"/>
        <v>0.18716981132075472</v>
      </c>
      <c r="F12" s="38">
        <v>649</v>
      </c>
      <c r="G12" s="31">
        <v>439</v>
      </c>
      <c r="H12" s="21">
        <f aca="true" t="shared" si="7" ref="H12:H22">IF(OR(G12="",F12=0),"",G12-F12)</f>
        <v>-210</v>
      </c>
      <c r="I12" s="71">
        <f t="shared" si="1"/>
        <v>-0.3235747303543914</v>
      </c>
      <c r="J12" s="38">
        <v>168</v>
      </c>
      <c r="K12" s="31">
        <v>166</v>
      </c>
      <c r="L12" s="21">
        <f aca="true" t="shared" si="8" ref="L12:L22">IF(OR(K12="",J12=0),"",K12-J12)</f>
        <v>-2</v>
      </c>
      <c r="M12" s="71">
        <f t="shared" si="2"/>
        <v>-0.011904761904761904</v>
      </c>
      <c r="N12" s="38">
        <f t="shared" si="3"/>
        <v>2142</v>
      </c>
      <c r="O12" s="34">
        <f t="shared" si="4"/>
        <v>2178</v>
      </c>
      <c r="P12" s="21">
        <f aca="true" t="shared" si="9" ref="P12:P22">IF(OR(O12="",N12=0),"",O12-N12)</f>
        <v>36</v>
      </c>
      <c r="Q12" s="71">
        <f t="shared" si="5"/>
        <v>0.01680672268907563</v>
      </c>
    </row>
    <row r="13" spans="1:17" ht="11.25" customHeight="1">
      <c r="A13" s="27" t="s">
        <v>8</v>
      </c>
      <c r="B13" s="40">
        <v>2201</v>
      </c>
      <c r="C13" s="32">
        <v>2280</v>
      </c>
      <c r="D13" s="22">
        <f t="shared" si="6"/>
        <v>79</v>
      </c>
      <c r="E13" s="72">
        <f t="shared" si="0"/>
        <v>0.03589277601090413</v>
      </c>
      <c r="F13" s="40">
        <v>734</v>
      </c>
      <c r="G13" s="32">
        <v>512</v>
      </c>
      <c r="H13" s="22">
        <f t="shared" si="7"/>
        <v>-222</v>
      </c>
      <c r="I13" s="72">
        <f t="shared" si="1"/>
        <v>-0.3024523160762943</v>
      </c>
      <c r="J13" s="40">
        <v>211</v>
      </c>
      <c r="K13" s="32">
        <v>151</v>
      </c>
      <c r="L13" s="22">
        <f t="shared" si="8"/>
        <v>-60</v>
      </c>
      <c r="M13" s="72">
        <f t="shared" si="2"/>
        <v>-0.2843601895734597</v>
      </c>
      <c r="N13" s="40">
        <f t="shared" si="3"/>
        <v>3146</v>
      </c>
      <c r="O13" s="35">
        <f t="shared" si="4"/>
        <v>2943</v>
      </c>
      <c r="P13" s="22">
        <f t="shared" si="9"/>
        <v>-203</v>
      </c>
      <c r="Q13" s="72">
        <f t="shared" si="5"/>
        <v>-0.0645263827082009</v>
      </c>
    </row>
    <row r="14" spans="1:17" ht="11.25" customHeight="1">
      <c r="A14" s="20" t="s">
        <v>9</v>
      </c>
      <c r="B14" s="38">
        <v>2368</v>
      </c>
      <c r="C14" s="31"/>
      <c r="D14" s="21">
        <f t="shared" si="6"/>
      </c>
      <c r="E14" s="71">
        <f t="shared" si="0"/>
      </c>
      <c r="F14" s="38">
        <v>663</v>
      </c>
      <c r="G14" s="31"/>
      <c r="H14" s="21">
        <f t="shared" si="7"/>
      </c>
      <c r="I14" s="71">
        <f t="shared" si="1"/>
      </c>
      <c r="J14" s="38">
        <v>216</v>
      </c>
      <c r="K14" s="31"/>
      <c r="L14" s="21">
        <f t="shared" si="8"/>
      </c>
      <c r="M14" s="71">
        <f t="shared" si="2"/>
      </c>
      <c r="N14" s="38">
        <f t="shared" si="3"/>
        <v>3247</v>
      </c>
      <c r="O14" s="34">
        <f t="shared" si="4"/>
      </c>
      <c r="P14" s="21">
        <f t="shared" si="9"/>
      </c>
      <c r="Q14" s="71">
        <f t="shared" si="5"/>
      </c>
    </row>
    <row r="15" spans="1:17" ht="11.25" customHeight="1">
      <c r="A15" s="20" t="s">
        <v>10</v>
      </c>
      <c r="B15" s="38">
        <v>2501</v>
      </c>
      <c r="C15" s="31"/>
      <c r="D15" s="21">
        <f t="shared" si="6"/>
      </c>
      <c r="E15" s="71">
        <f t="shared" si="0"/>
      </c>
      <c r="F15" s="38">
        <v>599</v>
      </c>
      <c r="G15" s="31"/>
      <c r="H15" s="21">
        <f t="shared" si="7"/>
      </c>
      <c r="I15" s="71">
        <f t="shared" si="1"/>
      </c>
      <c r="J15" s="38">
        <v>180</v>
      </c>
      <c r="K15" s="31"/>
      <c r="L15" s="21">
        <f t="shared" si="8"/>
      </c>
      <c r="M15" s="71">
        <f t="shared" si="2"/>
      </c>
      <c r="N15" s="38">
        <f t="shared" si="3"/>
        <v>3280</v>
      </c>
      <c r="O15" s="34">
        <f t="shared" si="4"/>
      </c>
      <c r="P15" s="21">
        <f t="shared" si="9"/>
      </c>
      <c r="Q15" s="71">
        <f t="shared" si="5"/>
      </c>
    </row>
    <row r="16" spans="1:17" ht="11.25" customHeight="1">
      <c r="A16" s="27" t="s">
        <v>11</v>
      </c>
      <c r="B16" s="40">
        <v>2915</v>
      </c>
      <c r="C16" s="32"/>
      <c r="D16" s="22">
        <f t="shared" si="6"/>
      </c>
      <c r="E16" s="72">
        <f t="shared" si="0"/>
      </c>
      <c r="F16" s="40">
        <v>716</v>
      </c>
      <c r="G16" s="32"/>
      <c r="H16" s="22">
        <f t="shared" si="7"/>
      </c>
      <c r="I16" s="72">
        <f t="shared" si="1"/>
      </c>
      <c r="J16" s="40">
        <v>184</v>
      </c>
      <c r="K16" s="32"/>
      <c r="L16" s="22">
        <f t="shared" si="8"/>
      </c>
      <c r="M16" s="72">
        <f t="shared" si="2"/>
      </c>
      <c r="N16" s="40">
        <f t="shared" si="3"/>
        <v>3815</v>
      </c>
      <c r="O16" s="35">
        <f t="shared" si="4"/>
      </c>
      <c r="P16" s="22">
        <f t="shared" si="9"/>
      </c>
      <c r="Q16" s="72">
        <f t="shared" si="5"/>
      </c>
    </row>
    <row r="17" spans="1:17" ht="11.25" customHeight="1">
      <c r="A17" s="20" t="s">
        <v>12</v>
      </c>
      <c r="B17" s="38">
        <v>2583</v>
      </c>
      <c r="C17" s="31"/>
      <c r="D17" s="21">
        <f t="shared" si="6"/>
      </c>
      <c r="E17" s="71">
        <f t="shared" si="0"/>
      </c>
      <c r="F17" s="38">
        <v>630</v>
      </c>
      <c r="G17" s="31"/>
      <c r="H17" s="21">
        <f t="shared" si="7"/>
      </c>
      <c r="I17" s="71">
        <f t="shared" si="1"/>
      </c>
      <c r="J17" s="38">
        <v>222</v>
      </c>
      <c r="K17" s="31"/>
      <c r="L17" s="21">
        <f t="shared" si="8"/>
      </c>
      <c r="M17" s="71">
        <f t="shared" si="2"/>
      </c>
      <c r="N17" s="38">
        <f t="shared" si="3"/>
        <v>3435</v>
      </c>
      <c r="O17" s="34">
        <f t="shared" si="4"/>
      </c>
      <c r="P17" s="21">
        <f t="shared" si="9"/>
      </c>
      <c r="Q17" s="71">
        <f t="shared" si="5"/>
      </c>
    </row>
    <row r="18" spans="1:17" ht="11.25" customHeight="1">
      <c r="A18" s="20" t="s">
        <v>13</v>
      </c>
      <c r="B18" s="38">
        <v>2075</v>
      </c>
      <c r="C18" s="31"/>
      <c r="D18" s="21">
        <f t="shared" si="6"/>
      </c>
      <c r="E18" s="71">
        <f t="shared" si="0"/>
      </c>
      <c r="F18" s="38">
        <v>339</v>
      </c>
      <c r="G18" s="31"/>
      <c r="H18" s="21">
        <f t="shared" si="7"/>
      </c>
      <c r="I18" s="71">
        <f t="shared" si="1"/>
      </c>
      <c r="J18" s="38">
        <v>163</v>
      </c>
      <c r="K18" s="31"/>
      <c r="L18" s="21">
        <f t="shared" si="8"/>
      </c>
      <c r="M18" s="71">
        <f t="shared" si="2"/>
      </c>
      <c r="N18" s="38">
        <f t="shared" si="3"/>
        <v>2577</v>
      </c>
      <c r="O18" s="34">
        <f t="shared" si="4"/>
      </c>
      <c r="P18" s="21">
        <f t="shared" si="9"/>
      </c>
      <c r="Q18" s="71">
        <f t="shared" si="5"/>
      </c>
    </row>
    <row r="19" spans="1:17" ht="11.25" customHeight="1">
      <c r="A19" s="27" t="s">
        <v>14</v>
      </c>
      <c r="B19" s="40">
        <v>2434</v>
      </c>
      <c r="C19" s="32"/>
      <c r="D19" s="22">
        <f t="shared" si="6"/>
      </c>
      <c r="E19" s="72">
        <f t="shared" si="0"/>
      </c>
      <c r="F19" s="40">
        <v>640</v>
      </c>
      <c r="G19" s="32"/>
      <c r="H19" s="22">
        <f t="shared" si="7"/>
      </c>
      <c r="I19" s="72">
        <f t="shared" si="1"/>
      </c>
      <c r="J19" s="40">
        <v>186</v>
      </c>
      <c r="K19" s="32"/>
      <c r="L19" s="22">
        <f t="shared" si="8"/>
      </c>
      <c r="M19" s="72">
        <f t="shared" si="2"/>
      </c>
      <c r="N19" s="40">
        <f t="shared" si="3"/>
        <v>3260</v>
      </c>
      <c r="O19" s="35">
        <f t="shared" si="4"/>
      </c>
      <c r="P19" s="22">
        <f t="shared" si="9"/>
      </c>
      <c r="Q19" s="72">
        <f t="shared" si="5"/>
      </c>
    </row>
    <row r="20" spans="1:17" ht="11.25" customHeight="1">
      <c r="A20" s="20" t="s">
        <v>15</v>
      </c>
      <c r="B20" s="38">
        <v>2671</v>
      </c>
      <c r="C20" s="31"/>
      <c r="D20" s="21">
        <f t="shared" si="6"/>
      </c>
      <c r="E20" s="71">
        <f t="shared" si="0"/>
      </c>
      <c r="F20" s="38">
        <v>646</v>
      </c>
      <c r="G20" s="31"/>
      <c r="H20" s="21">
        <f t="shared" si="7"/>
      </c>
      <c r="I20" s="71">
        <f t="shared" si="1"/>
      </c>
      <c r="J20" s="38">
        <v>258</v>
      </c>
      <c r="K20" s="31"/>
      <c r="L20" s="21">
        <f t="shared" si="8"/>
      </c>
      <c r="M20" s="71">
        <f t="shared" si="2"/>
      </c>
      <c r="N20" s="38">
        <f t="shared" si="3"/>
        <v>3575</v>
      </c>
      <c r="O20" s="34">
        <f t="shared" si="4"/>
      </c>
      <c r="P20" s="21">
        <f t="shared" si="9"/>
      </c>
      <c r="Q20" s="71">
        <f t="shared" si="5"/>
      </c>
    </row>
    <row r="21" spans="1:17" ht="11.25" customHeight="1">
      <c r="A21" s="20" t="s">
        <v>16</v>
      </c>
      <c r="B21" s="38">
        <v>2153</v>
      </c>
      <c r="C21" s="31"/>
      <c r="D21" s="21">
        <f t="shared" si="6"/>
      </c>
      <c r="E21" s="71">
        <f t="shared" si="0"/>
      </c>
      <c r="F21" s="38">
        <v>483</v>
      </c>
      <c r="G21" s="31"/>
      <c r="H21" s="21">
        <f t="shared" si="7"/>
      </c>
      <c r="I21" s="71">
        <f t="shared" si="1"/>
      </c>
      <c r="J21" s="38">
        <v>246</v>
      </c>
      <c r="K21" s="31"/>
      <c r="L21" s="21">
        <f t="shared" si="8"/>
      </c>
      <c r="M21" s="71">
        <f t="shared" si="2"/>
      </c>
      <c r="N21" s="38">
        <f t="shared" si="3"/>
        <v>2882</v>
      </c>
      <c r="O21" s="34">
        <f t="shared" si="4"/>
      </c>
      <c r="P21" s="21">
        <f t="shared" si="9"/>
      </c>
      <c r="Q21" s="71">
        <f t="shared" si="5"/>
      </c>
    </row>
    <row r="22" spans="1:17" ht="11.25" customHeight="1" thickBot="1">
      <c r="A22" s="23" t="s">
        <v>17</v>
      </c>
      <c r="B22" s="39">
        <v>1230</v>
      </c>
      <c r="C22" s="33"/>
      <c r="D22" s="21">
        <f t="shared" si="6"/>
      </c>
      <c r="E22" s="57">
        <f t="shared" si="0"/>
      </c>
      <c r="F22" s="39">
        <v>395</v>
      </c>
      <c r="G22" s="33"/>
      <c r="H22" s="21">
        <f t="shared" si="7"/>
      </c>
      <c r="I22" s="57">
        <f t="shared" si="1"/>
      </c>
      <c r="J22" s="39">
        <v>190</v>
      </c>
      <c r="K22" s="33"/>
      <c r="L22" s="21">
        <f t="shared" si="8"/>
      </c>
      <c r="M22" s="57">
        <f t="shared" si="2"/>
      </c>
      <c r="N22" s="39">
        <f t="shared" si="3"/>
        <v>1815</v>
      </c>
      <c r="O22" s="36">
        <f t="shared" si="4"/>
      </c>
      <c r="P22" s="21">
        <f t="shared" si="9"/>
      </c>
      <c r="Q22" s="57">
        <f t="shared" si="5"/>
      </c>
    </row>
    <row r="23" spans="1:17" ht="11.25" customHeight="1" thickBot="1">
      <c r="A23" s="44" t="s">
        <v>3</v>
      </c>
      <c r="B23" s="41">
        <f>IF(C17="",B24,B25)</f>
        <v>5060</v>
      </c>
      <c r="C23" s="42">
        <f>IF(C11="","",SUM(C11:C22))</f>
        <v>5144</v>
      </c>
      <c r="D23" s="43">
        <f>IF(C11="","",SUM(D11:D22))</f>
        <v>84</v>
      </c>
      <c r="E23" s="64">
        <f>IF(OR(D23="",D23=0),"",D23/B23)</f>
        <v>0.016600790513833993</v>
      </c>
      <c r="F23" s="41">
        <f>IF(G17="",F24,F25)</f>
        <v>1929</v>
      </c>
      <c r="G23" s="42">
        <f>IF(G11="","",SUM(G11:G22))</f>
        <v>1452</v>
      </c>
      <c r="H23" s="43">
        <f>IF(G11="","",SUM(H11:H22))</f>
        <v>-477</v>
      </c>
      <c r="I23" s="64">
        <f>IF(OR(H23="",H23=0),"",H23/F23)</f>
        <v>-0.24727838258164853</v>
      </c>
      <c r="J23" s="41">
        <f>IF(K17="",J24,J25)</f>
        <v>505</v>
      </c>
      <c r="K23" s="42">
        <f>IF(K11="","",SUM(K11:K22))</f>
        <v>473</v>
      </c>
      <c r="L23" s="43">
        <f>IF(K11="","",SUM(L11:L22))</f>
        <v>-32</v>
      </c>
      <c r="M23" s="64">
        <f>IF(OR(L23="",L23=0),"",L23/J23)</f>
        <v>-0.06336633663366337</v>
      </c>
      <c r="N23" s="41">
        <f>IF(O17="",N24,N25)</f>
        <v>7494</v>
      </c>
      <c r="O23" s="42">
        <f>IF(O11="","",SUM(O11:O22))</f>
        <v>7069</v>
      </c>
      <c r="P23" s="43">
        <f>IF(O11="","",SUM(P11:P22))</f>
        <v>-425</v>
      </c>
      <c r="Q23" s="64">
        <f>IF(OR(P23="",P23=0),"",P23/N23)</f>
        <v>-0.056712036295703226</v>
      </c>
    </row>
    <row r="24" spans="1:17" ht="11.25" customHeight="1">
      <c r="A24" s="89" t="s">
        <v>28</v>
      </c>
      <c r="B24" s="94">
        <f>IF(C16&lt;&gt;"",SUM(B11:B16),IF(C15&lt;&gt;"",SUM(B11:B15),IF(C14&lt;&gt;"",SUM(B11:B14),IF(C13&lt;&gt;"",SUM(B11:B13),IF(C12&lt;&gt;"",SUM(B11:B12),B11)))))</f>
        <v>5060</v>
      </c>
      <c r="C24" s="59">
        <f>COUNTIF(C11:C22,"&gt;0")</f>
        <v>3</v>
      </c>
      <c r="D24" s="59"/>
      <c r="E24" s="60"/>
      <c r="F24" s="94">
        <f>IF(G16&lt;&gt;"",SUM(F11:F16),IF(G15&lt;&gt;"",SUM(F11:F15),IF(G14&lt;&gt;"",SUM(F11:F14),IF(G13&lt;&gt;"",SUM(F11:F13),IF(G12&lt;&gt;"",SUM(F11:F12),F11)))))</f>
        <v>1929</v>
      </c>
      <c r="G24" s="59">
        <f>COUNTIF(G11:G22,"&gt;0")</f>
        <v>3</v>
      </c>
      <c r="H24" s="59"/>
      <c r="I24" s="60"/>
      <c r="J24" s="94">
        <f>IF(K16&lt;&gt;"",SUM(J11:J16),IF(K15&lt;&gt;"",SUM(J11:J15),IF(K14&lt;&gt;"",SUM(J11:J14),IF(K13&lt;&gt;"",SUM(J11:J13),IF(K12&lt;&gt;"",SUM(J11:J12),J11)))))</f>
        <v>505</v>
      </c>
      <c r="K24" s="59">
        <f>COUNTIF(K11:K22,"&gt;0")</f>
        <v>3</v>
      </c>
      <c r="L24" s="59"/>
      <c r="M24" s="60"/>
      <c r="N24" s="94">
        <f>IF(O16&lt;&gt;"",SUM(N11:N16),IF(O15&lt;&gt;"",SUM(N11:N15),IF(O14&lt;&gt;"",SUM(N11:N14),IF(O13&lt;&gt;"",SUM(N11:N13),IF(O12&lt;&gt;"",SUM(N11:N12),N11)))))</f>
        <v>7494</v>
      </c>
      <c r="O24" s="59">
        <f>COUNTIF(O11:O22,"&gt;0")</f>
        <v>3</v>
      </c>
      <c r="P24" s="59"/>
      <c r="Q24" s="60"/>
    </row>
    <row r="25" spans="2:14" ht="11.25" customHeight="1">
      <c r="B25" s="92">
        <f>IF(C22&lt;&gt;"",SUM(B11:B22),IF(C21&lt;&gt;"",SUM(B11:B21),IF(C20&lt;&gt;"",SUM(B11:B20),IF(C19&lt;&gt;"",SUM(B11:B19),IF(C18&lt;&gt;"",SUM(B11:B18),SUM(B11:B17))))))</f>
        <v>15427</v>
      </c>
      <c r="F25" s="92">
        <f>IF(G22&lt;&gt;"",SUM(F11:F22),IF(G21&lt;&gt;"",SUM(F11:F21),IF(G20&lt;&gt;"",SUM(F11:F20),IF(G19&lt;&gt;"",SUM(F11:F19),IF(G18&lt;&gt;"",SUM(F11:F18),SUM(F11:F17))))))</f>
        <v>4537</v>
      </c>
      <c r="J25" s="92">
        <f>IF(K22&lt;&gt;"",SUM(J11:J22),IF(K21&lt;&gt;"",SUM(J11:J21),IF(K20&lt;&gt;"",SUM(J11:J20),IF(K19&lt;&gt;"",SUM(J11:J19),IF(K18&lt;&gt;"",SUM(J11:J18),SUM(J11:J17))))))</f>
        <v>1307</v>
      </c>
      <c r="N25" s="92">
        <f>IF(O22&lt;&gt;"",SUM(N11:N22),IF(O21&lt;&gt;"",SUM(N11:N21),IF(O20&lt;&gt;"",SUM(N11:N20),IF(O19&lt;&gt;"",SUM(N11:N19),IF(O18&lt;&gt;"",SUM(N11:N18),SUM(N11:N17))))))</f>
        <v>21271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8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20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  <c r="T29" s="54"/>
    </row>
    <row r="30" spans="1:20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05" t="s">
        <v>23</v>
      </c>
      <c r="S30" s="106"/>
      <c r="T30" s="55"/>
    </row>
    <row r="31" spans="1:21" ht="11.25" customHeight="1">
      <c r="A31" s="20" t="s">
        <v>6</v>
      </c>
      <c r="B31" s="78">
        <f aca="true" t="shared" si="10" ref="B31:B42">IF(C11="","",B11/$R31)</f>
        <v>69.72727272727273</v>
      </c>
      <c r="C31" s="81">
        <f aca="true" t="shared" si="11" ref="C31:C42">IF(C11="","",C11/$S31)</f>
        <v>58.68181818181818</v>
      </c>
      <c r="D31" s="77">
        <f>IF(OR(C31="",B31=0),"",C31-B31)</f>
        <v>-11.045454545454554</v>
      </c>
      <c r="E31" s="73">
        <f>IF(D31="","",(C31-B31)/ABS(B31))</f>
        <v>-0.15840938722294665</v>
      </c>
      <c r="F31" s="78">
        <f aca="true" t="shared" si="12" ref="F31:F42">IF(G11="","",F11/$R31)</f>
        <v>24.818181818181817</v>
      </c>
      <c r="G31" s="81">
        <f aca="true" t="shared" si="13" ref="G31:G42">IF(G11="","",G11/$S31)</f>
        <v>22.772727272727273</v>
      </c>
      <c r="H31" s="97">
        <f>IF(OR(G31="",F31=0),"",G31-F31)</f>
        <v>-2.045454545454543</v>
      </c>
      <c r="I31" s="73">
        <f>IF(H31="","",(G31-F31)/ABS(F31))</f>
        <v>-0.08241758241758233</v>
      </c>
      <c r="J31" s="78">
        <f aca="true" t="shared" si="14" ref="J31:J42">IF(K11="","",J11/$R31)</f>
        <v>5.7272727272727275</v>
      </c>
      <c r="K31" s="81">
        <f aca="true" t="shared" si="15" ref="K31:K42">IF(K11="","",K11/$S31)</f>
        <v>7.090909090909091</v>
      </c>
      <c r="L31" s="97">
        <f>IF(OR(K31="",J31=0),"",K31-J31)</f>
        <v>1.3636363636363633</v>
      </c>
      <c r="M31" s="73">
        <f>IF(L31="","",(K31-J31)/ABS(J31))</f>
        <v>0.23809523809523803</v>
      </c>
      <c r="N31" s="78">
        <f aca="true" t="shared" si="16" ref="N31:N42">IF(O11="","",N11/$R31)</f>
        <v>100.27272727272727</v>
      </c>
      <c r="O31" s="81">
        <f aca="true" t="shared" si="17" ref="O31:O42">IF(O11="","",O11/$S31)</f>
        <v>88.54545454545455</v>
      </c>
      <c r="P31" s="97">
        <f>IF(OR(O31="",N31=0),"",O31-N31)</f>
        <v>-11.72727272727272</v>
      </c>
      <c r="Q31" s="71">
        <f>IF(P31="","",(O31-N31)/ABS(N31))</f>
        <v>-0.11695376246600174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63.095238095238095</v>
      </c>
      <c r="C32" s="81">
        <f t="shared" si="11"/>
        <v>78.65</v>
      </c>
      <c r="D32" s="77">
        <f aca="true" t="shared" si="18" ref="D32:D42">IF(OR(C32="",B32=0),"",C32-B32)</f>
        <v>15.55476190476191</v>
      </c>
      <c r="E32" s="73">
        <f aca="true" t="shared" si="19" ref="E32:E42">IF(D32="","",(C32-B32)/ABS(B32))</f>
        <v>0.24652830188679256</v>
      </c>
      <c r="F32" s="78">
        <f t="shared" si="12"/>
        <v>30.904761904761905</v>
      </c>
      <c r="G32" s="81">
        <f t="shared" si="13"/>
        <v>21.95</v>
      </c>
      <c r="H32" s="97">
        <f aca="true" t="shared" si="20" ref="H32:H42">IF(OR(G32="",F32=0),"",G32-F32)</f>
        <v>-8.954761904761906</v>
      </c>
      <c r="I32" s="73">
        <f aca="true" t="shared" si="21" ref="I32:I42">IF(H32="","",(G32-F32)/ABS(F32))</f>
        <v>-0.28975346687211095</v>
      </c>
      <c r="J32" s="78">
        <f t="shared" si="14"/>
        <v>8</v>
      </c>
      <c r="K32" s="81">
        <f t="shared" si="15"/>
        <v>8.3</v>
      </c>
      <c r="L32" s="97">
        <f aca="true" t="shared" si="22" ref="L32:L42">IF(OR(K32="",J32=0),"",K32-J32)</f>
        <v>0.3000000000000007</v>
      </c>
      <c r="M32" s="73">
        <f aca="true" t="shared" si="23" ref="M32:M42">IF(L32="","",(K32-J32)/ABS(J32))</f>
        <v>0.03750000000000009</v>
      </c>
      <c r="N32" s="78">
        <f t="shared" si="16"/>
        <v>102</v>
      </c>
      <c r="O32" s="81">
        <f t="shared" si="17"/>
        <v>108.9</v>
      </c>
      <c r="P32" s="97">
        <f aca="true" t="shared" si="24" ref="P32:P42">IF(OR(O32="",N32=0),"",O32-N32)</f>
        <v>6.900000000000006</v>
      </c>
      <c r="Q32" s="71">
        <f aca="true" t="shared" si="25" ref="Q32:Q42">IF(P32="","",(O32-N32)/ABS(N32))</f>
        <v>0.06764705882352946</v>
      </c>
      <c r="R32" s="67">
        <v>21</v>
      </c>
      <c r="S32" s="68">
        <v>20</v>
      </c>
      <c r="T32" s="93">
        <f aca="true" t="shared" si="26" ref="T32:T42">IF(OR(N32="",N32=0),"",R32)</f>
        <v>21</v>
      </c>
      <c r="U32" s="93">
        <f aca="true" t="shared" si="27" ref="U32:U42">IF(OR(O32="",O32=0),"",S32)</f>
        <v>20</v>
      </c>
    </row>
    <row r="33" spans="1:21" ht="11.25" customHeight="1">
      <c r="A33" s="46" t="s">
        <v>8</v>
      </c>
      <c r="B33" s="79">
        <f t="shared" si="10"/>
        <v>100.04545454545455</v>
      </c>
      <c r="C33" s="82">
        <f t="shared" si="11"/>
        <v>114</v>
      </c>
      <c r="D33" s="84">
        <f t="shared" si="18"/>
        <v>13.954545454545453</v>
      </c>
      <c r="E33" s="74">
        <f t="shared" si="19"/>
        <v>0.13948205361199453</v>
      </c>
      <c r="F33" s="79">
        <f t="shared" si="12"/>
        <v>33.36363636363637</v>
      </c>
      <c r="G33" s="82">
        <f t="shared" si="13"/>
        <v>25.6</v>
      </c>
      <c r="H33" s="98">
        <f t="shared" si="20"/>
        <v>-7.7636363636363654</v>
      </c>
      <c r="I33" s="74">
        <f t="shared" si="21"/>
        <v>-0.23269754768392373</v>
      </c>
      <c r="J33" s="79">
        <f t="shared" si="14"/>
        <v>9.590909090909092</v>
      </c>
      <c r="K33" s="82">
        <f t="shared" si="15"/>
        <v>7.55</v>
      </c>
      <c r="L33" s="98">
        <f t="shared" si="22"/>
        <v>-2.040909090909092</v>
      </c>
      <c r="M33" s="74">
        <f t="shared" si="23"/>
        <v>-0.21279620853080577</v>
      </c>
      <c r="N33" s="79">
        <f t="shared" si="16"/>
        <v>143</v>
      </c>
      <c r="O33" s="82">
        <f t="shared" si="17"/>
        <v>147.15</v>
      </c>
      <c r="P33" s="98">
        <f t="shared" si="24"/>
        <v>4.150000000000006</v>
      </c>
      <c r="Q33" s="72">
        <f t="shared" si="25"/>
        <v>0.02902097902097906</v>
      </c>
      <c r="R33" s="69">
        <v>22</v>
      </c>
      <c r="S33" s="103">
        <v>20</v>
      </c>
      <c r="T33" s="93">
        <f t="shared" si="26"/>
        <v>22</v>
      </c>
      <c r="U33" s="93">
        <f t="shared" si="27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8"/>
      </c>
      <c r="E34" s="73">
        <f t="shared" si="19"/>
      </c>
      <c r="F34" s="78">
        <f t="shared" si="12"/>
      </c>
      <c r="G34" s="81">
        <f t="shared" si="13"/>
      </c>
      <c r="H34" s="97">
        <f t="shared" si="20"/>
      </c>
      <c r="I34" s="73">
        <f t="shared" si="21"/>
      </c>
      <c r="J34" s="78">
        <f t="shared" si="14"/>
      </c>
      <c r="K34" s="81">
        <f t="shared" si="15"/>
      </c>
      <c r="L34" s="97">
        <f t="shared" si="22"/>
      </c>
      <c r="M34" s="73">
        <f t="shared" si="23"/>
      </c>
      <c r="N34" s="78">
        <f t="shared" si="16"/>
      </c>
      <c r="O34" s="81">
        <f t="shared" si="17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7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8"/>
      </c>
      <c r="E35" s="73">
        <f t="shared" si="19"/>
      </c>
      <c r="F35" s="78">
        <f t="shared" si="12"/>
      </c>
      <c r="G35" s="81">
        <f t="shared" si="13"/>
      </c>
      <c r="H35" s="97">
        <f t="shared" si="20"/>
      </c>
      <c r="I35" s="73">
        <f t="shared" si="21"/>
      </c>
      <c r="J35" s="78">
        <f t="shared" si="14"/>
      </c>
      <c r="K35" s="81">
        <f t="shared" si="15"/>
      </c>
      <c r="L35" s="97">
        <f t="shared" si="22"/>
      </c>
      <c r="M35" s="73">
        <f t="shared" si="23"/>
      </c>
      <c r="N35" s="78">
        <f t="shared" si="16"/>
      </c>
      <c r="O35" s="81">
        <f t="shared" si="17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7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8"/>
      </c>
      <c r="E36" s="74">
        <f t="shared" si="19"/>
      </c>
      <c r="F36" s="79">
        <f t="shared" si="12"/>
      </c>
      <c r="G36" s="82">
        <f t="shared" si="13"/>
      </c>
      <c r="H36" s="98">
        <f t="shared" si="20"/>
      </c>
      <c r="I36" s="74">
        <f t="shared" si="21"/>
      </c>
      <c r="J36" s="79">
        <f t="shared" si="14"/>
      </c>
      <c r="K36" s="82">
        <f t="shared" si="15"/>
      </c>
      <c r="L36" s="98">
        <f t="shared" si="22"/>
      </c>
      <c r="M36" s="74">
        <f t="shared" si="23"/>
      </c>
      <c r="N36" s="79">
        <f t="shared" si="16"/>
      </c>
      <c r="O36" s="82">
        <f t="shared" si="17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7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8"/>
      </c>
      <c r="E37" s="73">
        <f t="shared" si="19"/>
      </c>
      <c r="F37" s="78">
        <f t="shared" si="12"/>
      </c>
      <c r="G37" s="81">
        <f t="shared" si="13"/>
      </c>
      <c r="H37" s="97">
        <f t="shared" si="20"/>
      </c>
      <c r="I37" s="73">
        <f t="shared" si="21"/>
      </c>
      <c r="J37" s="78">
        <f t="shared" si="14"/>
      </c>
      <c r="K37" s="81">
        <f t="shared" si="15"/>
      </c>
      <c r="L37" s="97">
        <f t="shared" si="22"/>
      </c>
      <c r="M37" s="73">
        <f t="shared" si="23"/>
      </c>
      <c r="N37" s="78">
        <f t="shared" si="16"/>
      </c>
      <c r="O37" s="81">
        <f t="shared" si="17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7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8"/>
      </c>
      <c r="E38" s="73">
        <f t="shared" si="19"/>
      </c>
      <c r="F38" s="78">
        <f t="shared" si="12"/>
      </c>
      <c r="G38" s="81">
        <f t="shared" si="13"/>
      </c>
      <c r="H38" s="97">
        <f t="shared" si="20"/>
      </c>
      <c r="I38" s="73">
        <f t="shared" si="21"/>
      </c>
      <c r="J38" s="78">
        <f t="shared" si="14"/>
      </c>
      <c r="K38" s="81">
        <f t="shared" si="15"/>
      </c>
      <c r="L38" s="97">
        <f t="shared" si="22"/>
      </c>
      <c r="M38" s="73">
        <f t="shared" si="23"/>
      </c>
      <c r="N38" s="78">
        <f t="shared" si="16"/>
      </c>
      <c r="O38" s="81">
        <f t="shared" si="17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7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8"/>
      </c>
      <c r="E39" s="74">
        <f t="shared" si="19"/>
      </c>
      <c r="F39" s="79">
        <f t="shared" si="12"/>
      </c>
      <c r="G39" s="82">
        <f t="shared" si="13"/>
      </c>
      <c r="H39" s="98">
        <f t="shared" si="20"/>
      </c>
      <c r="I39" s="74">
        <f t="shared" si="21"/>
      </c>
      <c r="J39" s="79">
        <f t="shared" si="14"/>
      </c>
      <c r="K39" s="82">
        <f t="shared" si="15"/>
      </c>
      <c r="L39" s="98">
        <f t="shared" si="22"/>
      </c>
      <c r="M39" s="74">
        <f t="shared" si="23"/>
      </c>
      <c r="N39" s="79">
        <f t="shared" si="16"/>
      </c>
      <c r="O39" s="82">
        <f t="shared" si="17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7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8"/>
      </c>
      <c r="E40" s="73">
        <f t="shared" si="19"/>
      </c>
      <c r="F40" s="78">
        <f t="shared" si="12"/>
      </c>
      <c r="G40" s="81">
        <f t="shared" si="13"/>
      </c>
      <c r="H40" s="97">
        <f t="shared" si="20"/>
      </c>
      <c r="I40" s="73">
        <f t="shared" si="21"/>
      </c>
      <c r="J40" s="78">
        <f t="shared" si="14"/>
      </c>
      <c r="K40" s="81">
        <f t="shared" si="15"/>
      </c>
      <c r="L40" s="97">
        <f t="shared" si="22"/>
      </c>
      <c r="M40" s="73">
        <f t="shared" si="23"/>
      </c>
      <c r="N40" s="78">
        <f t="shared" si="16"/>
      </c>
      <c r="O40" s="81">
        <f t="shared" si="17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7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8"/>
      </c>
      <c r="E41" s="73">
        <f t="shared" si="19"/>
      </c>
      <c r="F41" s="78">
        <f t="shared" si="12"/>
      </c>
      <c r="G41" s="81">
        <f t="shared" si="13"/>
      </c>
      <c r="H41" s="97">
        <f t="shared" si="20"/>
      </c>
      <c r="I41" s="73">
        <f t="shared" si="21"/>
      </c>
      <c r="J41" s="78">
        <f t="shared" si="14"/>
      </c>
      <c r="K41" s="81">
        <f t="shared" si="15"/>
      </c>
      <c r="L41" s="97">
        <f t="shared" si="22"/>
      </c>
      <c r="M41" s="73">
        <f t="shared" si="23"/>
      </c>
      <c r="N41" s="78">
        <f t="shared" si="16"/>
      </c>
      <c r="O41" s="81">
        <f t="shared" si="17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7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8"/>
      </c>
      <c r="E42" s="73">
        <f t="shared" si="19"/>
      </c>
      <c r="F42" s="78">
        <f t="shared" si="12"/>
      </c>
      <c r="G42" s="81">
        <f t="shared" si="13"/>
      </c>
      <c r="H42" s="97">
        <f t="shared" si="20"/>
      </c>
      <c r="I42" s="73">
        <f t="shared" si="21"/>
      </c>
      <c r="J42" s="78">
        <f t="shared" si="14"/>
      </c>
      <c r="K42" s="81">
        <f t="shared" si="15"/>
      </c>
      <c r="L42" s="97">
        <f t="shared" si="22"/>
      </c>
      <c r="M42" s="73">
        <f t="shared" si="23"/>
      </c>
      <c r="N42" s="78">
        <f t="shared" si="16"/>
      </c>
      <c r="O42" s="81">
        <f t="shared" si="17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7"/>
      </c>
    </row>
    <row r="43" spans="1:21" ht="11.25" customHeight="1" thickBot="1">
      <c r="A43" s="45" t="s">
        <v>29</v>
      </c>
      <c r="B43" s="80">
        <f>IF(B23=0,"",SUM(B31:B42)/B44)</f>
        <v>77.62265512265513</v>
      </c>
      <c r="C43" s="83">
        <f>IF(OR(C23=0,C23=""),"",SUM(C31:C42)/C44)</f>
        <v>83.77727272727273</v>
      </c>
      <c r="D43" s="75">
        <f>IF(B23=0,"",AVERAGE(D31:D42))</f>
        <v>6.154617604617603</v>
      </c>
      <c r="E43" s="65">
        <f>IF(B23=0,"",AVERAGE(E31:E42))</f>
        <v>0.07586698942528015</v>
      </c>
      <c r="F43" s="80">
        <f>IF(F23=0,"",SUM(F31:F42)/F44)</f>
        <v>29.695526695526695</v>
      </c>
      <c r="G43" s="83">
        <f>IF(OR(G23=0,G23=""),"",SUM(G31:G42)/G44)</f>
        <v>23.440909090909088</v>
      </c>
      <c r="H43" s="75">
        <f>IF(F23=0,"",AVERAGE(H31:H42))</f>
        <v>-6.2546176046176045</v>
      </c>
      <c r="I43" s="65">
        <f>IF(F23=0,"",AVERAGE(I31:I42))</f>
        <v>-0.20162286565787235</v>
      </c>
      <c r="J43" s="80">
        <f>IF(J23=0,"",SUM(J31:J42)/J44)</f>
        <v>7.772727272727273</v>
      </c>
      <c r="K43" s="83">
        <f>IF(OR(K23=0,K23=""),"",SUM(K31:K42)/K44)</f>
        <v>7.646969696969697</v>
      </c>
      <c r="L43" s="75">
        <f>IF(J23=0,"",AVERAGE(L31:L42))</f>
        <v>-0.12575757575757596</v>
      </c>
      <c r="M43" s="65">
        <f>IF(J23=0,"",AVERAGE(M31:M42))</f>
        <v>0.02093300985481078</v>
      </c>
      <c r="N43" s="80">
        <f>IF(N23=0,"",SUM(N31:N42)/N44)</f>
        <v>115.09090909090908</v>
      </c>
      <c r="O43" s="83">
        <f>IF(OR(O23=0,O23=""),"",SUM(O31:O42)/O44)</f>
        <v>114.86515151515152</v>
      </c>
      <c r="P43" s="75">
        <f>IF(N23=0,"",AVERAGE(P31:P42))</f>
        <v>-0.22575757575756938</v>
      </c>
      <c r="Q43" s="65">
        <f>IF(N23=0,"",AVERAGE(Q31:Q42))</f>
        <v>-0.006761908207164405</v>
      </c>
      <c r="R43" s="70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>
        <f>COUNTIF(B31:B42,"&gt;0")</f>
        <v>3</v>
      </c>
      <c r="C44" s="61">
        <f>COUNTIF(C31:C42,"&gt;0")</f>
        <v>3</v>
      </c>
      <c r="D44" s="62"/>
      <c r="E44" s="63"/>
      <c r="F44" s="61">
        <f>COUNTIF(F31:F42,"&gt;0")</f>
        <v>3</v>
      </c>
      <c r="G44" s="61">
        <f>COUNTIF(G31:G42,"&gt;0")</f>
        <v>3</v>
      </c>
      <c r="H44" s="62"/>
      <c r="I44" s="63"/>
      <c r="J44" s="61">
        <f>COUNTIF(J31:J42,"&gt;0")</f>
        <v>3</v>
      </c>
      <c r="K44" s="61">
        <f>COUNTIF(K31:K42,"&gt;0")</f>
        <v>3</v>
      </c>
      <c r="L44" s="62"/>
      <c r="M44" s="63"/>
      <c r="N44" s="61">
        <f>COUNTIF(N31:N42,"&gt;0")</f>
        <v>3</v>
      </c>
      <c r="O44" s="61">
        <f>COUNTIF(O31:O42,"&gt;0")</f>
        <v>3</v>
      </c>
      <c r="P44" s="62"/>
      <c r="Q44" s="63"/>
    </row>
    <row r="45" spans="1:15" ht="11.25" customHeight="1">
      <c r="A45"/>
      <c r="B45"/>
      <c r="C45"/>
      <c r="D45"/>
      <c r="E45"/>
      <c r="F45"/>
      <c r="G45" s="76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B6:E7"/>
    <mergeCell ref="D9:E9"/>
    <mergeCell ref="F8:I8"/>
    <mergeCell ref="B2:E2"/>
    <mergeCell ref="B3:C3"/>
    <mergeCell ref="D3:E3"/>
    <mergeCell ref="J8:M8"/>
    <mergeCell ref="J28:M28"/>
    <mergeCell ref="N28:Q28"/>
    <mergeCell ref="P9:Q9"/>
    <mergeCell ref="H9:I9"/>
    <mergeCell ref="L9:M9"/>
    <mergeCell ref="R30:S30"/>
    <mergeCell ref="B8:E8"/>
    <mergeCell ref="D29:E29"/>
    <mergeCell ref="H29:I29"/>
    <mergeCell ref="L29:M29"/>
    <mergeCell ref="P29:Q29"/>
    <mergeCell ref="N8:Q8"/>
    <mergeCell ref="F28:I28"/>
    <mergeCell ref="B28:E28"/>
    <mergeCell ref="B26:E27"/>
  </mergeCells>
  <conditionalFormatting sqref="J13:J22 B13:B16 F13:F22 N13:N22 B18:B21">
    <cfRule type="expression" priority="1" dxfId="2" stopIfTrue="1">
      <formula>C13=""</formula>
    </cfRule>
  </conditionalFormatting>
  <conditionalFormatting sqref="B17 B22 F12 J12 N12">
    <cfRule type="expression" priority="2" dxfId="2" stopIfTrue="1">
      <formula>C12=""</formula>
    </cfRule>
  </conditionalFormatting>
  <conditionalFormatting sqref="S31:S43">
    <cfRule type="expression" priority="3" dxfId="1" stopIfTrue="1">
      <formula>S31&lt;$R31</formula>
    </cfRule>
    <cfRule type="expression" priority="4" dxfId="0" stopIfTrue="1">
      <formula>S31&gt;$R31</formula>
    </cfRule>
  </conditionalFormatting>
  <conditionalFormatting sqref="B12">
    <cfRule type="expression" priority="5" dxfId="2" stopIfTrue="1">
      <formula>C12=""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U60"/>
  <sheetViews>
    <sheetView showGridLines="0" zoomScalePageLayoutView="0" workbookViewId="0" topLeftCell="A1">
      <selection activeCell="J1" sqref="J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2" t="s">
        <v>27</v>
      </c>
      <c r="B2" s="126" t="s">
        <v>37</v>
      </c>
      <c r="C2" s="126"/>
      <c r="D2" s="126"/>
      <c r="E2" s="126"/>
      <c r="Q2" s="96"/>
    </row>
    <row r="3" spans="1:17" ht="13.5" customHeight="1">
      <c r="A3" s="1"/>
      <c r="B3" s="127" t="s">
        <v>20</v>
      </c>
      <c r="C3" s="127"/>
      <c r="D3" s="139" t="s">
        <v>25</v>
      </c>
      <c r="E3" s="139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6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SUM('BON-SN'!B11,'BSL-SN'!B11,'BWA-SN'!B11,'RFA-SN'!B11)</f>
        <v>28163</v>
      </c>
      <c r="C11" s="47">
        <f>IF('BON-SN'!C11="","",SUM('BON-SN'!C11,'BSL-SN'!C11,'BWA-SN'!C11,'RFA-SN'!C11))</f>
        <v>27518</v>
      </c>
      <c r="D11" s="21">
        <f aca="true" t="shared" si="0" ref="D11:D22">IF(C11="","",C11-B11)</f>
        <v>-645</v>
      </c>
      <c r="E11" s="71">
        <f aca="true" t="shared" si="1" ref="E11:E23">IF(D11="","",D11/B11)</f>
        <v>-0.02290238966019245</v>
      </c>
      <c r="F11" s="38">
        <f>SUM('BON-SN'!F11,'BSL-SN'!F11,'BWA-SN'!F11,'RFA-SN'!F11)</f>
        <v>32808</v>
      </c>
      <c r="G11" s="47">
        <f>IF('BON-SN'!G11="","",SUM('BON-SN'!G11,'BSL-SN'!G11,'BWA-SN'!G11,'RFA-SN'!G11))</f>
        <v>33300</v>
      </c>
      <c r="H11" s="21">
        <f aca="true" t="shared" si="2" ref="H11:H22">IF(G11="","",G11-F11)</f>
        <v>492</v>
      </c>
      <c r="I11" s="71">
        <f aca="true" t="shared" si="3" ref="I11:I23">IF(H11="","",H11/F11)</f>
        <v>0.014996342355523043</v>
      </c>
      <c r="J11" s="38">
        <f>SUM('BON-SN'!J11,'BSL-SN'!J11,'BWA-SN'!J11,'RFA-SN'!J11)</f>
        <v>23988</v>
      </c>
      <c r="K11" s="47">
        <f>IF('BON-SN'!K11="","",SUM('BON-SN'!K11,'BSL-SN'!K11,'BWA-SN'!K11,'RFA-SN'!K11))</f>
        <v>25591</v>
      </c>
      <c r="L11" s="21">
        <f aca="true" t="shared" si="4" ref="L11:L22">IF(K11="","",K11-J11)</f>
        <v>1603</v>
      </c>
      <c r="M11" s="71">
        <f aca="true" t="shared" si="5" ref="M11:M23">IF(L11="","",L11/J11)</f>
        <v>0.0668250792062698</v>
      </c>
      <c r="N11" s="38">
        <f>SUM(B11,F11,J11)</f>
        <v>84959</v>
      </c>
      <c r="O11" s="34">
        <f aca="true" t="shared" si="6" ref="O11:O22">IF(C11="","",SUM(C11,G11,K11))</f>
        <v>86409</v>
      </c>
      <c r="P11" s="21">
        <f aca="true" t="shared" si="7" ref="P11:P22">IF(O11="","",O11-N11)</f>
        <v>1450</v>
      </c>
      <c r="Q11" s="71">
        <f aca="true" t="shared" si="8" ref="Q11:Q23">IF(P11="","",P11/N11)</f>
        <v>0.017067055874009817</v>
      </c>
    </row>
    <row r="12" spans="1:17" ht="11.25" customHeight="1">
      <c r="A12" s="20" t="s">
        <v>7</v>
      </c>
      <c r="B12" s="38">
        <f>SUM('BON-SN'!B12,'BSL-SN'!B12,'BWA-SN'!B12,'RFA-SN'!B12)</f>
        <v>29043</v>
      </c>
      <c r="C12" s="47">
        <f>IF('BON-SN'!C12="","",SUM('BON-SN'!C12,'BSL-SN'!C12,'BWA-SN'!C12,'RFA-SN'!C12))</f>
        <v>26501</v>
      </c>
      <c r="D12" s="21">
        <f t="shared" si="0"/>
        <v>-2542</v>
      </c>
      <c r="E12" s="71">
        <f t="shared" si="1"/>
        <v>-0.08752539338222635</v>
      </c>
      <c r="F12" s="38">
        <f>SUM('BON-SN'!F12,'BSL-SN'!F12,'BWA-SN'!F12,'RFA-SN'!F12)</f>
        <v>36207</v>
      </c>
      <c r="G12" s="47">
        <f>IF('BON-SN'!G12="","",SUM('BON-SN'!G12,'BSL-SN'!G12,'BWA-SN'!G12,'RFA-SN'!G12))</f>
        <v>31745</v>
      </c>
      <c r="H12" s="21">
        <f t="shared" si="2"/>
        <v>-4462</v>
      </c>
      <c r="I12" s="71">
        <f t="shared" si="3"/>
        <v>-0.12323583837379512</v>
      </c>
      <c r="J12" s="38">
        <f>SUM('BON-SN'!J12,'BSL-SN'!J12,'BWA-SN'!J12,'RFA-SN'!J12)</f>
        <v>25141</v>
      </c>
      <c r="K12" s="47">
        <f>IF('BON-SN'!K12="","",SUM('BON-SN'!K12,'BSL-SN'!K12,'BWA-SN'!K12,'RFA-SN'!K12))</f>
        <v>31167</v>
      </c>
      <c r="L12" s="21">
        <f t="shared" si="4"/>
        <v>6026</v>
      </c>
      <c r="M12" s="71">
        <f t="shared" si="5"/>
        <v>0.23968815878445568</v>
      </c>
      <c r="N12" s="38">
        <f aca="true" t="shared" si="9" ref="N12:N22">SUM(B12,F12,J12)</f>
        <v>90391</v>
      </c>
      <c r="O12" s="34">
        <f t="shared" si="6"/>
        <v>89413</v>
      </c>
      <c r="P12" s="21">
        <f t="shared" si="7"/>
        <v>-978</v>
      </c>
      <c r="Q12" s="71">
        <f t="shared" si="8"/>
        <v>-0.010819661249460676</v>
      </c>
    </row>
    <row r="13" spans="1:17" ht="11.25" customHeight="1">
      <c r="A13" s="20" t="s">
        <v>8</v>
      </c>
      <c r="B13" s="40">
        <f>SUM('BON-SN'!B13,'BSL-SN'!B13,'BWA-SN'!B13,'RFA-SN'!B13)</f>
        <v>32765</v>
      </c>
      <c r="C13" s="48">
        <f>IF('BON-SN'!C13="","",SUM('BON-SN'!C13,'BSL-SN'!C13,'BWA-SN'!C13,'RFA-SN'!C13))</f>
        <v>29165</v>
      </c>
      <c r="D13" s="22">
        <f t="shared" si="0"/>
        <v>-3600</v>
      </c>
      <c r="E13" s="72">
        <f t="shared" si="1"/>
        <v>-0.10987334045475355</v>
      </c>
      <c r="F13" s="40">
        <f>SUM('BON-SN'!F13,'BSL-SN'!F13,'BWA-SN'!F13,'RFA-SN'!F13)</f>
        <v>40265</v>
      </c>
      <c r="G13" s="48">
        <f>IF('BON-SN'!G13="","",SUM('BON-SN'!G13,'BSL-SN'!G13,'BWA-SN'!G13,'RFA-SN'!G13))</f>
        <v>34622</v>
      </c>
      <c r="H13" s="22">
        <f t="shared" si="2"/>
        <v>-5643</v>
      </c>
      <c r="I13" s="72">
        <f t="shared" si="3"/>
        <v>-0.1401465292437601</v>
      </c>
      <c r="J13" s="40">
        <f>SUM('BON-SN'!J13,'BSL-SN'!J13,'BWA-SN'!J13,'RFA-SN'!J13)</f>
        <v>31205</v>
      </c>
      <c r="K13" s="48">
        <f>IF('BON-SN'!K13="","",SUM('BON-SN'!K13,'BSL-SN'!K13,'BWA-SN'!K13,'RFA-SN'!K13))</f>
        <v>28580</v>
      </c>
      <c r="L13" s="22">
        <f t="shared" si="4"/>
        <v>-2625</v>
      </c>
      <c r="M13" s="72">
        <f t="shared" si="5"/>
        <v>-0.08412113443358436</v>
      </c>
      <c r="N13" s="40">
        <f t="shared" si="9"/>
        <v>104235</v>
      </c>
      <c r="O13" s="35">
        <f t="shared" si="6"/>
        <v>92367</v>
      </c>
      <c r="P13" s="22">
        <f t="shared" si="7"/>
        <v>-11868</v>
      </c>
      <c r="Q13" s="72">
        <f t="shared" si="8"/>
        <v>-0.11385810908044323</v>
      </c>
    </row>
    <row r="14" spans="1:17" ht="11.25" customHeight="1">
      <c r="A14" s="20" t="s">
        <v>9</v>
      </c>
      <c r="B14" s="38">
        <f>SUM('BON-SN'!B14,'BSL-SN'!B14,'BWA-SN'!B14,'RFA-SN'!B14)</f>
        <v>28760</v>
      </c>
      <c r="C14" s="47">
        <f>IF('BON-SN'!C14="","",SUM('BON-SN'!C14,'BSL-SN'!C14,'BWA-SN'!C14,'RFA-SN'!C14))</f>
      </c>
      <c r="D14" s="21">
        <f t="shared" si="0"/>
      </c>
      <c r="E14" s="71">
        <f t="shared" si="1"/>
      </c>
      <c r="F14" s="38">
        <f>SUM('BON-SN'!F14,'BSL-SN'!F14,'BWA-SN'!F14,'RFA-SN'!F14)</f>
        <v>31764</v>
      </c>
      <c r="G14" s="47">
        <f>IF('BON-SN'!G14="","",SUM('BON-SN'!G14,'BSL-SN'!G14,'BWA-SN'!G14,'RFA-SN'!G14))</f>
      </c>
      <c r="H14" s="21">
        <f t="shared" si="2"/>
      </c>
      <c r="I14" s="71">
        <f t="shared" si="3"/>
      </c>
      <c r="J14" s="38">
        <f>SUM('BON-SN'!J14,'BSL-SN'!J14,'BWA-SN'!J14,'RFA-SN'!J14)</f>
        <v>26559</v>
      </c>
      <c r="K14" s="47">
        <f>IF('BON-SN'!K14="","",SUM('BON-SN'!K14,'BSL-SN'!K14,'BWA-SN'!K14,'RFA-SN'!K14))</f>
      </c>
      <c r="L14" s="21">
        <f t="shared" si="4"/>
      </c>
      <c r="M14" s="71">
        <f t="shared" si="5"/>
      </c>
      <c r="N14" s="38">
        <f t="shared" si="9"/>
        <v>87083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f>SUM('BON-SN'!B15,'BSL-SN'!B15,'BWA-SN'!B15,'RFA-SN'!B15)</f>
        <v>28299</v>
      </c>
      <c r="C15" s="47">
        <f>IF('BON-SN'!C15="","",SUM('BON-SN'!C15,'BSL-SN'!C15,'BWA-SN'!C15,'RFA-SN'!C15))</f>
      </c>
      <c r="D15" s="21">
        <f t="shared" si="0"/>
      </c>
      <c r="E15" s="71">
        <f t="shared" si="1"/>
      </c>
      <c r="F15" s="38">
        <f>SUM('BON-SN'!F15,'BSL-SN'!F15,'BWA-SN'!F15,'RFA-SN'!F15)</f>
        <v>34523</v>
      </c>
      <c r="G15" s="47">
        <f>IF('BON-SN'!G15="","",SUM('BON-SN'!G15,'BSL-SN'!G15,'BWA-SN'!G15,'RFA-SN'!G15))</f>
      </c>
      <c r="H15" s="21">
        <f t="shared" si="2"/>
      </c>
      <c r="I15" s="71">
        <f t="shared" si="3"/>
      </c>
      <c r="J15" s="38">
        <f>SUM('BON-SN'!J15,'BSL-SN'!J15,'BWA-SN'!J15,'RFA-SN'!J15)</f>
        <v>30087</v>
      </c>
      <c r="K15" s="47">
        <f>IF('BON-SN'!K15="","",SUM('BON-SN'!K15,'BSL-SN'!K15,'BWA-SN'!K15,'RFA-SN'!K15))</f>
      </c>
      <c r="L15" s="21">
        <f t="shared" si="4"/>
      </c>
      <c r="M15" s="71">
        <f t="shared" si="5"/>
      </c>
      <c r="N15" s="38">
        <f t="shared" si="9"/>
        <v>92909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0" t="s">
        <v>11</v>
      </c>
      <c r="B16" s="40">
        <f>SUM('BON-SN'!B16,'BSL-SN'!B16,'BWA-SN'!B16,'RFA-SN'!B16)</f>
        <v>28788</v>
      </c>
      <c r="C16" s="48">
        <f>IF('BON-SN'!C16="","",SUM('BON-SN'!C16,'BSL-SN'!C16,'BWA-SN'!C16,'RFA-SN'!C16))</f>
      </c>
      <c r="D16" s="22">
        <f t="shared" si="0"/>
      </c>
      <c r="E16" s="72">
        <f t="shared" si="1"/>
      </c>
      <c r="F16" s="40">
        <f>SUM('BON-SN'!F16,'BSL-SN'!F16,'BWA-SN'!F16,'RFA-SN'!F16)</f>
        <v>38724</v>
      </c>
      <c r="G16" s="48">
        <f>IF('BON-SN'!G16="","",SUM('BON-SN'!G16,'BSL-SN'!G16,'BWA-SN'!G16,'RFA-SN'!G16))</f>
      </c>
      <c r="H16" s="22">
        <f t="shared" si="2"/>
      </c>
      <c r="I16" s="72">
        <f t="shared" si="3"/>
      </c>
      <c r="J16" s="40">
        <f>SUM('BON-SN'!J16,'BSL-SN'!J16,'BWA-SN'!J16,'RFA-SN'!J16)</f>
        <v>30141</v>
      </c>
      <c r="K16" s="48">
        <f>IF('BON-SN'!K16="","",SUM('BON-SN'!K16,'BSL-SN'!K16,'BWA-SN'!K16,'RFA-SN'!K16))</f>
      </c>
      <c r="L16" s="22">
        <f t="shared" si="4"/>
      </c>
      <c r="M16" s="72">
        <f t="shared" si="5"/>
      </c>
      <c r="N16" s="40">
        <f t="shared" si="9"/>
        <v>97653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f>SUM('BON-SN'!B17,'BSL-SN'!B17,'BWA-SN'!B17,'RFA-SN'!B17)</f>
        <v>29794</v>
      </c>
      <c r="C17" s="47">
        <f>IF('BON-SN'!C17="","",SUM('BON-SN'!C17,'BSL-SN'!C17,'BWA-SN'!C17,'RFA-SN'!C17))</f>
      </c>
      <c r="D17" s="21">
        <f t="shared" si="0"/>
      </c>
      <c r="E17" s="71">
        <f t="shared" si="1"/>
      </c>
      <c r="F17" s="38">
        <f>SUM('BON-SN'!F17,'BSL-SN'!F17,'BWA-SN'!F17,'RFA-SN'!F17)</f>
        <v>35022</v>
      </c>
      <c r="G17" s="47">
        <f>IF('BON-SN'!G17="","",SUM('BON-SN'!G17,'BSL-SN'!G17,'BWA-SN'!G17,'RFA-SN'!G17))</f>
      </c>
      <c r="H17" s="21">
        <f t="shared" si="2"/>
      </c>
      <c r="I17" s="71">
        <f t="shared" si="3"/>
      </c>
      <c r="J17" s="38">
        <f>SUM('BON-SN'!J17,'BSL-SN'!J17,'BWA-SN'!J17,'RFA-SN'!J17)</f>
        <v>31412</v>
      </c>
      <c r="K17" s="47">
        <f>IF('BON-SN'!K17="","",SUM('BON-SN'!K17,'BSL-SN'!K17,'BWA-SN'!K17,'RFA-SN'!K17))</f>
      </c>
      <c r="L17" s="21">
        <f t="shared" si="4"/>
      </c>
      <c r="M17" s="71">
        <f t="shared" si="5"/>
      </c>
      <c r="N17" s="38">
        <f t="shared" si="9"/>
        <v>96228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f>SUM('BON-SN'!B18,'BSL-SN'!B18,'BWA-SN'!B18,'RFA-SN'!B18)</f>
        <v>28171</v>
      </c>
      <c r="C18" s="47">
        <f>IF('BON-SN'!C18="","",SUM('BON-SN'!C18,'BSL-SN'!C18,'BWA-SN'!C18,'RFA-SN'!C18))</f>
      </c>
      <c r="D18" s="21">
        <f t="shared" si="0"/>
      </c>
      <c r="E18" s="71">
        <f t="shared" si="1"/>
      </c>
      <c r="F18" s="38">
        <f>SUM('BON-SN'!F18,'BSL-SN'!F18,'BWA-SN'!F18,'RFA-SN'!F18)</f>
        <v>27756</v>
      </c>
      <c r="G18" s="47">
        <f>IF('BON-SN'!G18="","",SUM('BON-SN'!G18,'BSL-SN'!G18,'BWA-SN'!G18,'RFA-SN'!G18))</f>
      </c>
      <c r="H18" s="21">
        <f t="shared" si="2"/>
      </c>
      <c r="I18" s="71">
        <f t="shared" si="3"/>
      </c>
      <c r="J18" s="38">
        <f>SUM('BON-SN'!J18,'BSL-SN'!J18,'BWA-SN'!J18,'RFA-SN'!J18)</f>
        <v>26242</v>
      </c>
      <c r="K18" s="47">
        <f>IF('BON-SN'!K18="","",SUM('BON-SN'!K18,'BSL-SN'!K18,'BWA-SN'!K18,'RFA-SN'!K18))</f>
      </c>
      <c r="L18" s="21">
        <f t="shared" si="4"/>
      </c>
      <c r="M18" s="71">
        <f t="shared" si="5"/>
      </c>
      <c r="N18" s="38">
        <f t="shared" si="9"/>
        <v>82169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0" t="s">
        <v>14</v>
      </c>
      <c r="B19" s="40">
        <f>SUM('BON-SN'!B19,'BSL-SN'!B19,'BWA-SN'!B19,'RFA-SN'!B19)</f>
        <v>28208</v>
      </c>
      <c r="C19" s="48">
        <f>IF('BON-SN'!C19="","",SUM('BON-SN'!C19,'BSL-SN'!C19,'BWA-SN'!C19,'RFA-SN'!C19))</f>
      </c>
      <c r="D19" s="22">
        <f t="shared" si="0"/>
      </c>
      <c r="E19" s="72">
        <f t="shared" si="1"/>
      </c>
      <c r="F19" s="40">
        <f>SUM('BON-SN'!F19,'BSL-SN'!F19,'BWA-SN'!F19,'RFA-SN'!F19)</f>
        <v>33763</v>
      </c>
      <c r="G19" s="48">
        <f>IF('BON-SN'!G19="","",SUM('BON-SN'!G19,'BSL-SN'!G19,'BWA-SN'!G19,'RFA-SN'!G19))</f>
      </c>
      <c r="H19" s="22">
        <f t="shared" si="2"/>
      </c>
      <c r="I19" s="72">
        <f t="shared" si="3"/>
      </c>
      <c r="J19" s="40">
        <f>SUM('BON-SN'!J19,'BSL-SN'!J19,'BWA-SN'!J19,'RFA-SN'!J19)</f>
        <v>29816</v>
      </c>
      <c r="K19" s="48">
        <f>IF('BON-SN'!K19="","",SUM('BON-SN'!K19,'BSL-SN'!K19,'BWA-SN'!K19,'RFA-SN'!K19))</f>
      </c>
      <c r="L19" s="22">
        <f t="shared" si="4"/>
      </c>
      <c r="M19" s="72">
        <f t="shared" si="5"/>
      </c>
      <c r="N19" s="40">
        <f t="shared" si="9"/>
        <v>91787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f>SUM('BON-SN'!B20,'BSL-SN'!B20,'BWA-SN'!B20,'RFA-SN'!B20)</f>
        <v>31437</v>
      </c>
      <c r="C20" s="47">
        <f>IF('BON-SN'!C20="","",SUM('BON-SN'!C20,'BSL-SN'!C20,'BWA-SN'!C20,'RFA-SN'!C20))</f>
      </c>
      <c r="D20" s="21">
        <f t="shared" si="0"/>
      </c>
      <c r="E20" s="71">
        <f t="shared" si="1"/>
      </c>
      <c r="F20" s="38">
        <f>SUM('BON-SN'!F20,'BSL-SN'!F20,'BWA-SN'!F20,'RFA-SN'!F20)</f>
        <v>35830</v>
      </c>
      <c r="G20" s="47">
        <f>IF('BON-SN'!G20="","",SUM('BON-SN'!G20,'BSL-SN'!G20,'BWA-SN'!G20,'RFA-SN'!G20))</f>
      </c>
      <c r="H20" s="21">
        <f t="shared" si="2"/>
      </c>
      <c r="I20" s="71">
        <f t="shared" si="3"/>
      </c>
      <c r="J20" s="38">
        <f>SUM('BON-SN'!J20,'BSL-SN'!J20,'BWA-SN'!J20,'RFA-SN'!J20)</f>
        <v>38532</v>
      </c>
      <c r="K20" s="47">
        <f>IF('BON-SN'!K20="","",SUM('BON-SN'!K20,'BSL-SN'!K20,'BWA-SN'!K20,'RFA-SN'!K20))</f>
      </c>
      <c r="L20" s="21">
        <f t="shared" si="4"/>
      </c>
      <c r="M20" s="71">
        <f t="shared" si="5"/>
      </c>
      <c r="N20" s="38">
        <f t="shared" si="9"/>
        <v>105799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f>SUM('BON-SN'!B21,'BSL-SN'!B21,'BWA-SN'!B21,'RFA-SN'!B21)</f>
        <v>30483</v>
      </c>
      <c r="C21" s="47">
        <f>IF('BON-SN'!C21="","",SUM('BON-SN'!C21,'BSL-SN'!C21,'BWA-SN'!C21,'RFA-SN'!C21))</f>
      </c>
      <c r="D21" s="21">
        <f t="shared" si="0"/>
      </c>
      <c r="E21" s="71">
        <f t="shared" si="1"/>
      </c>
      <c r="F21" s="38">
        <f>SUM('BON-SN'!F21,'BSL-SN'!F21,'BWA-SN'!F21,'RFA-SN'!F21)</f>
        <v>34524</v>
      </c>
      <c r="G21" s="47">
        <f>IF('BON-SN'!G21="","",SUM('BON-SN'!G21,'BSL-SN'!G21,'BWA-SN'!G21,'RFA-SN'!G21))</f>
      </c>
      <c r="H21" s="21">
        <f t="shared" si="2"/>
      </c>
      <c r="I21" s="71">
        <f t="shared" si="3"/>
      </c>
      <c r="J21" s="38">
        <f>SUM('BON-SN'!J21,'BSL-SN'!J21,'BWA-SN'!J21,'RFA-SN'!J21)</f>
        <v>31887</v>
      </c>
      <c r="K21" s="47">
        <f>IF('BON-SN'!K21="","",SUM('BON-SN'!K21,'BSL-SN'!K21,'BWA-SN'!K21,'RFA-SN'!K21))</f>
      </c>
      <c r="L21" s="21">
        <f t="shared" si="4"/>
      </c>
      <c r="M21" s="71">
        <f t="shared" si="5"/>
      </c>
      <c r="N21" s="38">
        <f t="shared" si="9"/>
        <v>96894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f>SUM('BON-SN'!B22,'BSL-SN'!B22,'BWA-SN'!B22,'RFA-SN'!B22)</f>
        <v>21766</v>
      </c>
      <c r="C22" s="49">
        <f>IF('BON-SN'!C22="","",SUM('BON-SN'!C22,'BSL-SN'!C22,'BWA-SN'!C22,'RFA-SN'!C22))</f>
      </c>
      <c r="D22" s="21">
        <f t="shared" si="0"/>
      </c>
      <c r="E22" s="57">
        <f t="shared" si="1"/>
      </c>
      <c r="F22" s="39">
        <f>SUM('BON-SN'!F22,'BSL-SN'!F22,'BWA-SN'!F22,'RFA-SN'!F22)</f>
        <v>26542</v>
      </c>
      <c r="G22" s="49">
        <f>IF('BON-SN'!G22="","",SUM('BON-SN'!G22,'BSL-SN'!G22,'BWA-SN'!G22,'RFA-SN'!G22))</f>
      </c>
      <c r="H22" s="21">
        <f t="shared" si="2"/>
      </c>
      <c r="I22" s="57">
        <f t="shared" si="3"/>
      </c>
      <c r="J22" s="39">
        <f>SUM('BON-SN'!J22,'BSL-SN'!J22,'BWA-SN'!J22,'RFA-SN'!J22)</f>
        <v>22401</v>
      </c>
      <c r="K22" s="49">
        <f>IF('BON-SN'!K22="","",SUM('BON-SN'!K22,'BSL-SN'!K22,'BWA-SN'!K22,'RFA-SN'!K22))</f>
      </c>
      <c r="L22" s="21">
        <f t="shared" si="4"/>
      </c>
      <c r="M22" s="57">
        <f t="shared" si="5"/>
      </c>
      <c r="N22" s="39">
        <f t="shared" si="9"/>
        <v>70709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89971</v>
      </c>
      <c r="C23" s="42">
        <f>IF(C11="","",SUM(C11:C22))</f>
        <v>83184</v>
      </c>
      <c r="D23" s="43">
        <f>IF(D11="","",SUM(D11:D22))</f>
        <v>-6787</v>
      </c>
      <c r="E23" s="64">
        <f t="shared" si="1"/>
        <v>-0.07543541807915884</v>
      </c>
      <c r="F23" s="41">
        <f>IF(G24&lt;7,F24,F25)</f>
        <v>109280</v>
      </c>
      <c r="G23" s="42">
        <f>IF(G11="","",SUM(G11:G22))</f>
        <v>99667</v>
      </c>
      <c r="H23" s="43">
        <f>IF(H11="","",SUM(H11:H22))</f>
        <v>-9613</v>
      </c>
      <c r="I23" s="64">
        <f t="shared" si="3"/>
        <v>-0.08796669106881405</v>
      </c>
      <c r="J23" s="41">
        <f>IF(K24&lt;7,J24,J25)</f>
        <v>80334</v>
      </c>
      <c r="K23" s="42">
        <f>IF(K11="","",SUM(K11:K22))</f>
        <v>85338</v>
      </c>
      <c r="L23" s="43">
        <f>IF(L11="","",SUM(L11:L22))</f>
        <v>5004</v>
      </c>
      <c r="M23" s="64">
        <f t="shared" si="5"/>
        <v>0.06228993950257674</v>
      </c>
      <c r="N23" s="41">
        <f>IF(O24&lt;7,N24,N25)</f>
        <v>279585</v>
      </c>
      <c r="O23" s="42">
        <f>IF(O11="","",SUM(O11:O22))</f>
        <v>268189</v>
      </c>
      <c r="P23" s="43">
        <f>IF(P11="","",SUM(P11:P22))</f>
        <v>-11396</v>
      </c>
      <c r="Q23" s="64">
        <f t="shared" si="8"/>
        <v>-0.040760412754618454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89971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109280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80334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279585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345677</v>
      </c>
      <c r="F25" s="92">
        <f>IF(G24=7,SUM(F11:F17),IF(G24=8,SUM(F11:F18),IF(G24=9,SUM(F11:F19),IF(G24=10,SUM(F11:F20),IF(G24=11,SUM(F11:F21),SUM(F11:F22))))))</f>
        <v>407728</v>
      </c>
      <c r="J25" s="92">
        <f>IF(K24=7,SUM(J11:J17),IF(K24=8,SUM(J11:J18),IF(K24=9,SUM(J11:J19),IF(K24=10,SUM(J11:J20),IF(K24=11,SUM(J11:J21),SUM(J11:J22))))))</f>
        <v>347411</v>
      </c>
      <c r="N25" s="92">
        <f>IF(O24=7,SUM(N11:N17),IF(O24=8,SUM(N11:N18),IF(O24=9,SUM(N11:N19),IF(O24=10,SUM(N11:N20),IF(O24=11,SUM(N11:N21),SUM(N11:N22))))))</f>
        <v>1100816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 aca="true" t="shared" si="10" ref="B31:B42">IF(C11="","",B11/$R31)</f>
        <v>1280.1363636363637</v>
      </c>
      <c r="C31" s="81">
        <f aca="true" t="shared" si="11" ref="C31:C42">IF(C11="","",C11/$S31)</f>
        <v>1250.8181818181818</v>
      </c>
      <c r="D31" s="77">
        <f aca="true" t="shared" si="12" ref="D31:D42">IF(C31="","",C31-B31)</f>
        <v>-29.318181818181984</v>
      </c>
      <c r="E31" s="73">
        <f aca="true" t="shared" si="13" ref="E31:E43">IF(C31="","",(C31-B31)/ABS(B31))</f>
        <v>-0.02290238966019258</v>
      </c>
      <c r="F31" s="78">
        <f aca="true" t="shared" si="14" ref="F31:F42">IF(G11="","",F11/$R31)</f>
        <v>1491.2727272727273</v>
      </c>
      <c r="G31" s="81">
        <f aca="true" t="shared" si="15" ref="G31:G42">IF(G11="","",G11/$S31)</f>
        <v>1513.6363636363637</v>
      </c>
      <c r="H31" s="97">
        <f aca="true" t="shared" si="16" ref="H31:H42">IF(G31="","",G31-F31)</f>
        <v>22.363636363636488</v>
      </c>
      <c r="I31" s="73">
        <f aca="true" t="shared" si="17" ref="I31:I43">IF(G31="","",(G31-F31)/ABS(F31))</f>
        <v>0.014996342355523126</v>
      </c>
      <c r="J31" s="78">
        <f aca="true" t="shared" si="18" ref="J31:J42">IF(K11="","",J11/$R31)</f>
        <v>1090.3636363636363</v>
      </c>
      <c r="K31" s="81">
        <f aca="true" t="shared" si="19" ref="K31:K42">IF(K11="","",K11/$S31)</f>
        <v>1163.2272727272727</v>
      </c>
      <c r="L31" s="97">
        <f aca="true" t="shared" si="20" ref="L31:L42">IF(K31="","",K31-J31)</f>
        <v>72.86363636363649</v>
      </c>
      <c r="M31" s="73">
        <f aca="true" t="shared" si="21" ref="M31:M43">IF(K31="","",(K31-J31)/ABS(J31))</f>
        <v>0.06682507920626993</v>
      </c>
      <c r="N31" s="78">
        <f aca="true" t="shared" si="22" ref="N31:N42">IF(O11="","",N11/$R31)</f>
        <v>3861.7727272727275</v>
      </c>
      <c r="O31" s="81">
        <f aca="true" t="shared" si="23" ref="O31:O42">IF(O11="","",O11/$S31)</f>
        <v>3927.681818181818</v>
      </c>
      <c r="P31" s="97">
        <f aca="true" t="shared" si="24" ref="P31:P42">IF(O31="","",O31-N31)</f>
        <v>65.90909090909054</v>
      </c>
      <c r="Q31" s="71">
        <f aca="true" t="shared" si="25" ref="Q31:Q43">IF(O31="","",(O31-N31)/ABS(N31))</f>
        <v>0.01706705587400972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1383</v>
      </c>
      <c r="C32" s="81">
        <f t="shared" si="11"/>
        <v>1325.05</v>
      </c>
      <c r="D32" s="77">
        <f t="shared" si="12"/>
        <v>-57.950000000000045</v>
      </c>
      <c r="E32" s="73">
        <f t="shared" si="13"/>
        <v>-0.041901663051337704</v>
      </c>
      <c r="F32" s="78">
        <f t="shared" si="14"/>
        <v>1724.142857142857</v>
      </c>
      <c r="G32" s="81">
        <f t="shared" si="15"/>
        <v>1587.25</v>
      </c>
      <c r="H32" s="97">
        <f t="shared" si="16"/>
        <v>-136.8928571428571</v>
      </c>
      <c r="I32" s="73">
        <f t="shared" si="17"/>
        <v>-0.07939763029248487</v>
      </c>
      <c r="J32" s="78">
        <f t="shared" si="18"/>
        <v>1197.1904761904761</v>
      </c>
      <c r="K32" s="81">
        <f t="shared" si="19"/>
        <v>1558.35</v>
      </c>
      <c r="L32" s="97">
        <f t="shared" si="20"/>
        <v>361.15952380952376</v>
      </c>
      <c r="M32" s="73">
        <f t="shared" si="21"/>
        <v>0.3016725667236784</v>
      </c>
      <c r="N32" s="78">
        <f t="shared" si="22"/>
        <v>4304.333333333333</v>
      </c>
      <c r="O32" s="81">
        <f t="shared" si="23"/>
        <v>4470.65</v>
      </c>
      <c r="P32" s="97">
        <f t="shared" si="24"/>
        <v>166.3166666666666</v>
      </c>
      <c r="Q32" s="71">
        <f t="shared" si="25"/>
        <v>0.03863935568806628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20" t="s">
        <v>8</v>
      </c>
      <c r="B33" s="79">
        <f t="shared" si="10"/>
        <v>1489.3181818181818</v>
      </c>
      <c r="C33" s="82">
        <f t="shared" si="11"/>
        <v>1458.25</v>
      </c>
      <c r="D33" s="84">
        <f t="shared" si="12"/>
        <v>-31.068181818181756</v>
      </c>
      <c r="E33" s="74">
        <f t="shared" si="13"/>
        <v>-0.02086067450022886</v>
      </c>
      <c r="F33" s="79">
        <f t="shared" si="14"/>
        <v>1830.2272727272727</v>
      </c>
      <c r="G33" s="82">
        <f t="shared" si="15"/>
        <v>1731.1</v>
      </c>
      <c r="H33" s="98">
        <f t="shared" si="16"/>
        <v>-99.12727272727284</v>
      </c>
      <c r="I33" s="74">
        <f t="shared" si="17"/>
        <v>-0.05416118216813616</v>
      </c>
      <c r="J33" s="79">
        <f t="shared" si="18"/>
        <v>1418.409090909091</v>
      </c>
      <c r="K33" s="82">
        <f t="shared" si="19"/>
        <v>1429</v>
      </c>
      <c r="L33" s="98">
        <f t="shared" si="20"/>
        <v>10.590909090909008</v>
      </c>
      <c r="M33" s="74">
        <f t="shared" si="21"/>
        <v>0.007466752123057144</v>
      </c>
      <c r="N33" s="79">
        <f t="shared" si="22"/>
        <v>4737.954545454545</v>
      </c>
      <c r="O33" s="82">
        <f t="shared" si="23"/>
        <v>4618.35</v>
      </c>
      <c r="P33" s="98">
        <f t="shared" si="24"/>
        <v>-119.60454545454468</v>
      </c>
      <c r="Q33" s="72">
        <f t="shared" si="25"/>
        <v>-0.02524391998848739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20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20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91" t="s">
        <v>29</v>
      </c>
      <c r="B43" s="80">
        <f>AVERAGE(B31:B42)</f>
        <v>1384.1515151515152</v>
      </c>
      <c r="C43" s="83">
        <f>IF(C11="","",AVERAGE(C31:C42))</f>
        <v>1344.7060606060606</v>
      </c>
      <c r="D43" s="75">
        <f>IF(D31="","",AVERAGE(D31:D42))</f>
        <v>-39.445454545454595</v>
      </c>
      <c r="E43" s="65">
        <f t="shared" si="13"/>
        <v>-0.028497931125073924</v>
      </c>
      <c r="F43" s="80">
        <f>AVERAGE(F31:F42)</f>
        <v>1681.8809523809523</v>
      </c>
      <c r="G43" s="83">
        <f>IF(G11="","",AVERAGE(G31:G42))</f>
        <v>1610.6621212121215</v>
      </c>
      <c r="H43" s="99">
        <f>IF(H31="","",AVERAGE(H31:H42))</f>
        <v>-71.21883116883116</v>
      </c>
      <c r="I43" s="65">
        <f t="shared" si="17"/>
        <v>-0.04234475161158698</v>
      </c>
      <c r="J43" s="80">
        <f>AVERAGE(J31:J42)</f>
        <v>1235.3210678210678</v>
      </c>
      <c r="K43" s="83">
        <f>IF(K11="","",AVERAGE(K31:K42))</f>
        <v>1383.5257575757576</v>
      </c>
      <c r="L43" s="99">
        <f>IF(L31="","",AVERAGE(L31:L42))</f>
        <v>148.20468975468975</v>
      </c>
      <c r="M43" s="65">
        <f t="shared" si="21"/>
        <v>0.1199726076202213</v>
      </c>
      <c r="N43" s="80">
        <f>AVERAGE(N31:N42)</f>
        <v>4301.353535353534</v>
      </c>
      <c r="O43" s="83">
        <f>IF(O11="","",AVERAGE(O31:O42))</f>
        <v>4338.893939393939</v>
      </c>
      <c r="P43" s="99">
        <f>IF(P31="","",AVERAGE(P31:P42))</f>
        <v>37.540404040404155</v>
      </c>
      <c r="Q43" s="66">
        <f t="shared" si="25"/>
        <v>0.008727579291461127</v>
      </c>
      <c r="R43" s="70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37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58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F28:I28"/>
    <mergeCell ref="J28:M28"/>
    <mergeCell ref="B26:E27"/>
    <mergeCell ref="D29:E29"/>
    <mergeCell ref="H29:I29"/>
    <mergeCell ref="L29:M29"/>
    <mergeCell ref="J8:M8"/>
    <mergeCell ref="B8:E8"/>
    <mergeCell ref="H9:I9"/>
    <mergeCell ref="R30:S30"/>
    <mergeCell ref="P29:Q29"/>
    <mergeCell ref="P9:Q9"/>
    <mergeCell ref="B2:E2"/>
    <mergeCell ref="D3:E3"/>
    <mergeCell ref="B6:E7"/>
    <mergeCell ref="B3:C3"/>
    <mergeCell ref="B28:E28"/>
    <mergeCell ref="N8:Q8"/>
    <mergeCell ref="D9:E9"/>
    <mergeCell ref="N28:Q28"/>
    <mergeCell ref="L9:M9"/>
    <mergeCell ref="F8:I8"/>
  </mergeCells>
  <conditionalFormatting sqref="S31:S43">
    <cfRule type="expression" priority="3" dxfId="1" stopIfTrue="1">
      <formula>S31&lt;$R31</formula>
    </cfRule>
    <cfRule type="expression" priority="4" dxfId="0" stopIfTrue="1">
      <formula>S31&gt;$R31</formula>
    </cfRule>
  </conditionalFormatting>
  <conditionalFormatting sqref="B14:B21 F12:F22 J12:J22 N12:N22">
    <cfRule type="expression" priority="5" dxfId="2" stopIfTrue="1">
      <formula>C12=""</formula>
    </cfRule>
  </conditionalFormatting>
  <conditionalFormatting sqref="B22 B12:B13">
    <cfRule type="expression" priority="6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U62"/>
  <sheetViews>
    <sheetView showGridLines="0" zoomScalePageLayoutView="0" workbookViewId="0" topLeftCell="A1">
      <selection activeCell="J1" sqref="J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bestFit="1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2" t="s">
        <v>27</v>
      </c>
      <c r="B2" s="126" t="s">
        <v>37</v>
      </c>
      <c r="C2" s="126"/>
      <c r="D2" s="126"/>
      <c r="E2" s="126"/>
      <c r="Q2" s="96"/>
    </row>
    <row r="3" spans="1:21" ht="13.5" customHeight="1">
      <c r="A3" s="1"/>
      <c r="B3" s="127" t="s">
        <v>20</v>
      </c>
      <c r="C3" s="127"/>
      <c r="D3" s="128" t="s">
        <v>19</v>
      </c>
      <c r="E3" s="128"/>
      <c r="Q3" s="95"/>
      <c r="U3" s="24"/>
    </row>
    <row r="4" spans="1:21" ht="11.25" customHeight="1">
      <c r="A4" s="3"/>
      <c r="B4" s="4"/>
      <c r="C4" s="4"/>
      <c r="D4" s="130" t="s">
        <v>25</v>
      </c>
      <c r="E4" s="13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6"/>
      <c r="U5" s="24"/>
    </row>
    <row r="6" ht="4.5" customHeight="1">
      <c r="U6" s="24"/>
    </row>
    <row r="7" spans="1:6" ht="11.25" customHeight="1">
      <c r="A7" s="7"/>
      <c r="B7" s="121" t="s">
        <v>30</v>
      </c>
      <c r="C7" s="122"/>
      <c r="D7" s="122"/>
      <c r="E7" s="122"/>
      <c r="F7" s="9" t="s">
        <v>32</v>
      </c>
    </row>
    <row r="8" spans="2:6" ht="11.25" customHeight="1" thickBot="1">
      <c r="B8" s="123"/>
      <c r="C8" s="123"/>
      <c r="D8" s="123"/>
      <c r="E8" s="123"/>
      <c r="F8" s="2" t="s">
        <v>33</v>
      </c>
    </row>
    <row r="9" spans="1:17" s="9" customFormat="1" ht="11.25" customHeight="1" thickBot="1">
      <c r="A9" s="8" t="s">
        <v>4</v>
      </c>
      <c r="B9" s="107" t="s">
        <v>0</v>
      </c>
      <c r="C9" s="108"/>
      <c r="D9" s="108"/>
      <c r="E9" s="109"/>
      <c r="F9" s="116" t="s">
        <v>1</v>
      </c>
      <c r="G9" s="117"/>
      <c r="H9" s="117"/>
      <c r="I9" s="118"/>
      <c r="J9" s="124" t="s">
        <v>2</v>
      </c>
      <c r="K9" s="125"/>
      <c r="L9" s="125"/>
      <c r="M9" s="125"/>
      <c r="N9" s="113" t="s">
        <v>3</v>
      </c>
      <c r="O9" s="114"/>
      <c r="P9" s="114"/>
      <c r="Q9" s="115"/>
    </row>
    <row r="10" spans="1:17" s="9" customFormat="1" ht="11.25" customHeight="1">
      <c r="A10" s="10"/>
      <c r="B10" s="50">
        <f>'BON-NS'!B9</f>
        <v>2012</v>
      </c>
      <c r="C10" s="51">
        <f>'BON-NS'!C9</f>
        <v>2013</v>
      </c>
      <c r="D10" s="110" t="s">
        <v>5</v>
      </c>
      <c r="E10" s="112"/>
      <c r="F10" s="50">
        <f>$B$10</f>
        <v>2012</v>
      </c>
      <c r="G10" s="51">
        <f>$C$10</f>
        <v>2013</v>
      </c>
      <c r="H10" s="110" t="s">
        <v>5</v>
      </c>
      <c r="I10" s="112"/>
      <c r="J10" s="50">
        <f>$B$10</f>
        <v>2012</v>
      </c>
      <c r="K10" s="51">
        <f>$C$10</f>
        <v>2013</v>
      </c>
      <c r="L10" s="110" t="s">
        <v>5</v>
      </c>
      <c r="M10" s="111"/>
      <c r="N10" s="50">
        <f>$B$10</f>
        <v>2012</v>
      </c>
      <c r="O10" s="51">
        <f>$C$10</f>
        <v>2013</v>
      </c>
      <c r="P10" s="110" t="s">
        <v>5</v>
      </c>
      <c r="Q10" s="112"/>
    </row>
    <row r="11" spans="1:17" s="9" customFormat="1" ht="11.25" customHeight="1">
      <c r="A11" s="88" t="s">
        <v>24</v>
      </c>
      <c r="B11" s="11">
        <f>$R$44</f>
        <v>253</v>
      </c>
      <c r="C11" s="12">
        <f>$S$44</f>
        <v>252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17" ht="11.25" customHeight="1">
      <c r="A12" s="20" t="s">
        <v>6</v>
      </c>
      <c r="B12" s="38">
        <f>SUM('TTL-NS'!B11,'TTL-SN'!B11)</f>
        <v>65197</v>
      </c>
      <c r="C12" s="47">
        <f>IF('TTL-NS'!C11="","",SUM('TTL-NS'!C11,'TTL-SN'!C11))</f>
        <v>65975</v>
      </c>
      <c r="D12" s="21">
        <f aca="true" t="shared" si="0" ref="D12:D23">IF(C12="","",C12-B12)</f>
        <v>778</v>
      </c>
      <c r="E12" s="71">
        <f aca="true" t="shared" si="1" ref="E12:E24">IF(D12="","",D12/B12)</f>
        <v>0.011933064404803902</v>
      </c>
      <c r="F12" s="38">
        <f>SUM('TTL-NS'!F11,'TTL-SN'!F11)</f>
        <v>69381</v>
      </c>
      <c r="G12" s="47">
        <f>IF('TTL-NS'!G11="","",SUM('TTL-NS'!G11,'TTL-SN'!G11))</f>
        <v>69967</v>
      </c>
      <c r="H12" s="21">
        <f aca="true" t="shared" si="2" ref="H12:H23">IF(G12="","",G12-F12)</f>
        <v>586</v>
      </c>
      <c r="I12" s="71">
        <f aca="true" t="shared" si="3" ref="I12:I24">IF(H12="","",H12/F12)</f>
        <v>0.008446116371917384</v>
      </c>
      <c r="J12" s="38">
        <f>SUM('TTL-NS'!J11,'TTL-SN'!J11)</f>
        <v>30051</v>
      </c>
      <c r="K12" s="47">
        <f>IF('TTL-NS'!K11="","",SUM('TTL-NS'!K11,'TTL-SN'!K11))</f>
        <v>31790</v>
      </c>
      <c r="L12" s="21">
        <f aca="true" t="shared" si="4" ref="L12:L23">IF(K12="","",K12-J12)</f>
        <v>1739</v>
      </c>
      <c r="M12" s="71">
        <f aca="true" t="shared" si="5" ref="M12:M24">IF(L12="","",L12/J12)</f>
        <v>0.05786829057269309</v>
      </c>
      <c r="N12" s="38">
        <f>SUM(B12,F12,J12)</f>
        <v>164629</v>
      </c>
      <c r="O12" s="34">
        <f aca="true" t="shared" si="6" ref="O12:O23">IF(C12="","",SUM(C12,G12,K12))</f>
        <v>167732</v>
      </c>
      <c r="P12" s="21">
        <f aca="true" t="shared" si="7" ref="P12:P23">IF(O12="","",O12-N12)</f>
        <v>3103</v>
      </c>
      <c r="Q12" s="71">
        <f aca="true" t="shared" si="8" ref="Q12:Q24">IF(P12="","",P12/N12)</f>
        <v>0.018848441040156958</v>
      </c>
    </row>
    <row r="13" spans="1:17" ht="11.25" customHeight="1">
      <c r="A13" s="20" t="s">
        <v>7</v>
      </c>
      <c r="B13" s="38">
        <f>SUM('TTL-NS'!B12,'TTL-SN'!B12)</f>
        <v>67297</v>
      </c>
      <c r="C13" s="47">
        <f>IF('TTL-NS'!C12="","",SUM('TTL-NS'!C12,'TTL-SN'!C12))</f>
        <v>65468</v>
      </c>
      <c r="D13" s="21">
        <f t="shared" si="0"/>
        <v>-1829</v>
      </c>
      <c r="E13" s="71">
        <f t="shared" si="1"/>
        <v>-0.027178031710180246</v>
      </c>
      <c r="F13" s="38">
        <f>SUM('TTL-NS'!F12,'TTL-SN'!F12)</f>
        <v>76403</v>
      </c>
      <c r="G13" s="47">
        <f>IF('TTL-NS'!G12="","",SUM('TTL-NS'!G12,'TTL-SN'!G12))</f>
        <v>66915</v>
      </c>
      <c r="H13" s="21">
        <f t="shared" si="2"/>
        <v>-9488</v>
      </c>
      <c r="I13" s="71">
        <f t="shared" si="3"/>
        <v>-0.12418360535581063</v>
      </c>
      <c r="J13" s="38">
        <f>SUM('TTL-NS'!J12,'TTL-SN'!J12)</f>
        <v>30975</v>
      </c>
      <c r="K13" s="47">
        <f>IF('TTL-NS'!K12="","",SUM('TTL-NS'!K12,'TTL-SN'!K12))</f>
        <v>36421</v>
      </c>
      <c r="L13" s="21">
        <f t="shared" si="4"/>
        <v>5446</v>
      </c>
      <c r="M13" s="71">
        <f t="shared" si="5"/>
        <v>0.17581920903954804</v>
      </c>
      <c r="N13" s="38">
        <f aca="true" t="shared" si="9" ref="N13:N23">SUM(B13,F13,J13)</f>
        <v>174675</v>
      </c>
      <c r="O13" s="34">
        <f t="shared" si="6"/>
        <v>168804</v>
      </c>
      <c r="P13" s="21">
        <f t="shared" si="7"/>
        <v>-5871</v>
      </c>
      <c r="Q13" s="71">
        <f t="shared" si="8"/>
        <v>-0.033610991841992274</v>
      </c>
    </row>
    <row r="14" spans="1:17" ht="11.25" customHeight="1">
      <c r="A14" s="20" t="s">
        <v>8</v>
      </c>
      <c r="B14" s="40">
        <f>SUM('TTL-NS'!B13,'TTL-SN'!B13)</f>
        <v>77281</v>
      </c>
      <c r="C14" s="48">
        <f>IF('TTL-NS'!C13="","",SUM('TTL-NS'!C13,'TTL-SN'!C13))</f>
        <v>71520</v>
      </c>
      <c r="D14" s="22">
        <f t="shared" si="0"/>
        <v>-5761</v>
      </c>
      <c r="E14" s="72">
        <f t="shared" si="1"/>
        <v>-0.07454613682535163</v>
      </c>
      <c r="F14" s="40">
        <f>SUM('TTL-NS'!F13,'TTL-SN'!F13)</f>
        <v>83706</v>
      </c>
      <c r="G14" s="48">
        <f>IF('TTL-NS'!G13="","",SUM('TTL-NS'!G13,'TTL-SN'!G13))</f>
        <v>72349</v>
      </c>
      <c r="H14" s="22">
        <f t="shared" si="2"/>
        <v>-11357</v>
      </c>
      <c r="I14" s="72">
        <f t="shared" si="3"/>
        <v>-0.13567725133204311</v>
      </c>
      <c r="J14" s="40">
        <f>SUM('TTL-NS'!J13,'TTL-SN'!J13)</f>
        <v>38397</v>
      </c>
      <c r="K14" s="48">
        <f>IF('TTL-NS'!K13="","",SUM('TTL-NS'!K13,'TTL-SN'!K13))</f>
        <v>33817</v>
      </c>
      <c r="L14" s="22">
        <f t="shared" si="4"/>
        <v>-4580</v>
      </c>
      <c r="M14" s="72">
        <f t="shared" si="5"/>
        <v>-0.11928015209521577</v>
      </c>
      <c r="N14" s="40">
        <f t="shared" si="9"/>
        <v>199384</v>
      </c>
      <c r="O14" s="35">
        <f t="shared" si="6"/>
        <v>177686</v>
      </c>
      <c r="P14" s="22">
        <f t="shared" si="7"/>
        <v>-21698</v>
      </c>
      <c r="Q14" s="72">
        <f t="shared" si="8"/>
        <v>-0.10882518155920234</v>
      </c>
    </row>
    <row r="15" spans="1:17" ht="11.25" customHeight="1">
      <c r="A15" s="20" t="s">
        <v>9</v>
      </c>
      <c r="B15" s="38">
        <f>SUM('TTL-NS'!B14,'TTL-SN'!B14)</f>
        <v>68730</v>
      </c>
      <c r="C15" s="47">
        <f>IF('TTL-NS'!C14="","",SUM('TTL-NS'!C14,'TTL-SN'!C14))</f>
      </c>
      <c r="D15" s="21">
        <f t="shared" si="0"/>
      </c>
      <c r="E15" s="71">
        <f t="shared" si="1"/>
      </c>
      <c r="F15" s="38">
        <f>SUM('TTL-NS'!F14,'TTL-SN'!F14)</f>
        <v>66446</v>
      </c>
      <c r="G15" s="47">
        <f>IF('TTL-NS'!G14="","",SUM('TTL-NS'!G14,'TTL-SN'!G14))</f>
      </c>
      <c r="H15" s="21">
        <f t="shared" si="2"/>
      </c>
      <c r="I15" s="71">
        <f t="shared" si="3"/>
      </c>
      <c r="J15" s="38">
        <f>SUM('TTL-NS'!J14,'TTL-SN'!J14)</f>
        <v>32625</v>
      </c>
      <c r="K15" s="47">
        <f>IF('TTL-NS'!K14="","",SUM('TTL-NS'!K14,'TTL-SN'!K14))</f>
      </c>
      <c r="L15" s="21">
        <f t="shared" si="4"/>
      </c>
      <c r="M15" s="71">
        <f t="shared" si="5"/>
      </c>
      <c r="N15" s="38">
        <f t="shared" si="9"/>
        <v>167801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0" t="s">
        <v>10</v>
      </c>
      <c r="B16" s="38">
        <f>SUM('TTL-NS'!B15,'TTL-SN'!B15)</f>
        <v>70007</v>
      </c>
      <c r="C16" s="47">
        <f>IF('TTL-NS'!C15="","",SUM('TTL-NS'!C15,'TTL-SN'!C15))</f>
      </c>
      <c r="D16" s="21">
        <f t="shared" si="0"/>
      </c>
      <c r="E16" s="71">
        <f t="shared" si="1"/>
      </c>
      <c r="F16" s="38">
        <f>SUM('TTL-NS'!F15,'TTL-SN'!F15)</f>
        <v>71700</v>
      </c>
      <c r="G16" s="47">
        <f>IF('TTL-NS'!G15="","",SUM('TTL-NS'!G15,'TTL-SN'!G15))</f>
      </c>
      <c r="H16" s="21">
        <f t="shared" si="2"/>
      </c>
      <c r="I16" s="71">
        <f t="shared" si="3"/>
      </c>
      <c r="J16" s="38">
        <f>SUM('TTL-NS'!J15,'TTL-SN'!J15)</f>
        <v>35936</v>
      </c>
      <c r="K16" s="47">
        <f>IF('TTL-NS'!K15="","",SUM('TTL-NS'!K15,'TTL-SN'!K15))</f>
      </c>
      <c r="L16" s="21">
        <f t="shared" si="4"/>
      </c>
      <c r="M16" s="71">
        <f t="shared" si="5"/>
      </c>
      <c r="N16" s="38">
        <f t="shared" si="9"/>
        <v>177643</v>
      </c>
      <c r="O16" s="34">
        <f t="shared" si="6"/>
      </c>
      <c r="P16" s="21">
        <f t="shared" si="7"/>
      </c>
      <c r="Q16" s="71">
        <f t="shared" si="8"/>
      </c>
    </row>
    <row r="17" spans="1:17" ht="11.25" customHeight="1">
      <c r="A17" s="20" t="s">
        <v>11</v>
      </c>
      <c r="B17" s="40">
        <f>SUM('TTL-NS'!B16,'TTL-SN'!B16)</f>
        <v>71627</v>
      </c>
      <c r="C17" s="48">
        <f>IF('TTL-NS'!C16="","",SUM('TTL-NS'!C16,'TTL-SN'!C16))</f>
      </c>
      <c r="D17" s="22">
        <f t="shared" si="0"/>
      </c>
      <c r="E17" s="72">
        <f t="shared" si="1"/>
      </c>
      <c r="F17" s="40">
        <f>SUM('TTL-NS'!F16,'TTL-SN'!F16)</f>
        <v>77938</v>
      </c>
      <c r="G17" s="48">
        <f>IF('TTL-NS'!G16="","",SUM('TTL-NS'!G16,'TTL-SN'!G16))</f>
      </c>
      <c r="H17" s="22">
        <f t="shared" si="2"/>
      </c>
      <c r="I17" s="72">
        <f t="shared" si="3"/>
      </c>
      <c r="J17" s="40">
        <f>SUM('TTL-NS'!J16,'TTL-SN'!J16)</f>
        <v>35545</v>
      </c>
      <c r="K17" s="48">
        <f>IF('TTL-NS'!K16="","",SUM('TTL-NS'!K16,'TTL-SN'!K16))</f>
      </c>
      <c r="L17" s="22">
        <f t="shared" si="4"/>
      </c>
      <c r="M17" s="72">
        <f t="shared" si="5"/>
      </c>
      <c r="N17" s="40">
        <f t="shared" si="9"/>
        <v>185110</v>
      </c>
      <c r="O17" s="35">
        <f t="shared" si="6"/>
      </c>
      <c r="P17" s="22">
        <f t="shared" si="7"/>
      </c>
      <c r="Q17" s="72">
        <f t="shared" si="8"/>
      </c>
    </row>
    <row r="18" spans="1:17" ht="11.25" customHeight="1">
      <c r="A18" s="20" t="s">
        <v>12</v>
      </c>
      <c r="B18" s="38">
        <f>SUM('TTL-NS'!B17,'TTL-SN'!B17)</f>
        <v>72028</v>
      </c>
      <c r="C18" s="47">
        <f>IF('TTL-NS'!C17="","",SUM('TTL-NS'!C17,'TTL-SN'!C17))</f>
      </c>
      <c r="D18" s="21">
        <f t="shared" si="0"/>
      </c>
      <c r="E18" s="71">
        <f t="shared" si="1"/>
      </c>
      <c r="F18" s="38">
        <f>SUM('TTL-NS'!F17,'TTL-SN'!F17)</f>
        <v>71815</v>
      </c>
      <c r="G18" s="47">
        <f>IF('TTL-NS'!G17="","",SUM('TTL-NS'!G17,'TTL-SN'!G17))</f>
      </c>
      <c r="H18" s="21">
        <f t="shared" si="2"/>
      </c>
      <c r="I18" s="71">
        <f t="shared" si="3"/>
      </c>
      <c r="J18" s="38">
        <f>SUM('TTL-NS'!J17,'TTL-SN'!J17)</f>
        <v>37506</v>
      </c>
      <c r="K18" s="47">
        <f>IF('TTL-NS'!K17="","",SUM('TTL-NS'!K17,'TTL-SN'!K17))</f>
      </c>
      <c r="L18" s="21">
        <f t="shared" si="4"/>
      </c>
      <c r="M18" s="71">
        <f t="shared" si="5"/>
      </c>
      <c r="N18" s="38">
        <f t="shared" si="9"/>
        <v>181349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0" t="s">
        <v>13</v>
      </c>
      <c r="B19" s="38">
        <f>SUM('TTL-NS'!B18,'TTL-SN'!B18)</f>
        <v>67262</v>
      </c>
      <c r="C19" s="47">
        <f>IF('TTL-NS'!C18="","",SUM('TTL-NS'!C18,'TTL-SN'!C18))</f>
      </c>
      <c r="D19" s="21">
        <f t="shared" si="0"/>
      </c>
      <c r="E19" s="71">
        <f t="shared" si="1"/>
      </c>
      <c r="F19" s="38">
        <f>SUM('TTL-NS'!F18,'TTL-SN'!F18)</f>
        <v>58752</v>
      </c>
      <c r="G19" s="47">
        <f>IF('TTL-NS'!G18="","",SUM('TTL-NS'!G18,'TTL-SN'!G18))</f>
      </c>
      <c r="H19" s="21">
        <f t="shared" si="2"/>
      </c>
      <c r="I19" s="71">
        <f t="shared" si="3"/>
      </c>
      <c r="J19" s="38">
        <f>SUM('TTL-NS'!J18,'TTL-SN'!J18)</f>
        <v>32095</v>
      </c>
      <c r="K19" s="47">
        <f>IF('TTL-NS'!K18="","",SUM('TTL-NS'!K18,'TTL-SN'!K18))</f>
      </c>
      <c r="L19" s="21">
        <f t="shared" si="4"/>
      </c>
      <c r="M19" s="71">
        <f t="shared" si="5"/>
      </c>
      <c r="N19" s="38">
        <f t="shared" si="9"/>
        <v>158109</v>
      </c>
      <c r="O19" s="34">
        <f t="shared" si="6"/>
      </c>
      <c r="P19" s="21">
        <f t="shared" si="7"/>
      </c>
      <c r="Q19" s="71">
        <f t="shared" si="8"/>
      </c>
    </row>
    <row r="20" spans="1:17" ht="11.25" customHeight="1">
      <c r="A20" s="20" t="s">
        <v>14</v>
      </c>
      <c r="B20" s="40">
        <f>SUM('TTL-NS'!B19,'TTL-SN'!B19)</f>
        <v>69242</v>
      </c>
      <c r="C20" s="48">
        <f>IF('TTL-NS'!C19="","",SUM('TTL-NS'!C19,'TTL-SN'!C19))</f>
      </c>
      <c r="D20" s="22">
        <f t="shared" si="0"/>
      </c>
      <c r="E20" s="72">
        <f t="shared" si="1"/>
      </c>
      <c r="F20" s="40">
        <f>SUM('TTL-NS'!F19,'TTL-SN'!F19)</f>
        <v>70381</v>
      </c>
      <c r="G20" s="48">
        <f>IF('TTL-NS'!G19="","",SUM('TTL-NS'!G19,'TTL-SN'!G19))</f>
      </c>
      <c r="H20" s="22">
        <f t="shared" si="2"/>
      </c>
      <c r="I20" s="72">
        <f t="shared" si="3"/>
      </c>
      <c r="J20" s="40">
        <f>SUM('TTL-NS'!J19,'TTL-SN'!J19)</f>
        <v>35420</v>
      </c>
      <c r="K20" s="48">
        <f>IF('TTL-NS'!K19="","",SUM('TTL-NS'!K19,'TTL-SN'!K19))</f>
      </c>
      <c r="L20" s="22">
        <f t="shared" si="4"/>
      </c>
      <c r="M20" s="72">
        <f t="shared" si="5"/>
      </c>
      <c r="N20" s="40">
        <f t="shared" si="9"/>
        <v>175043</v>
      </c>
      <c r="O20" s="35">
        <f t="shared" si="6"/>
      </c>
      <c r="P20" s="22">
        <f t="shared" si="7"/>
      </c>
      <c r="Q20" s="72">
        <f t="shared" si="8"/>
      </c>
    </row>
    <row r="21" spans="1:17" ht="11.25" customHeight="1">
      <c r="A21" s="20" t="s">
        <v>15</v>
      </c>
      <c r="B21" s="38">
        <f>SUM('TTL-NS'!B20,'TTL-SN'!B20)</f>
        <v>77690</v>
      </c>
      <c r="C21" s="47">
        <f>IF('TTL-NS'!C20="","",SUM('TTL-NS'!C20,'TTL-SN'!C20))</f>
      </c>
      <c r="D21" s="21">
        <f t="shared" si="0"/>
      </c>
      <c r="E21" s="71">
        <f t="shared" si="1"/>
      </c>
      <c r="F21" s="38">
        <f>SUM('TTL-NS'!F20,'TTL-SN'!F20)</f>
        <v>74867</v>
      </c>
      <c r="G21" s="47">
        <f>IF('TTL-NS'!G20="","",SUM('TTL-NS'!G20,'TTL-SN'!G20))</f>
      </c>
      <c r="H21" s="21">
        <f t="shared" si="2"/>
      </c>
      <c r="I21" s="71">
        <f t="shared" si="3"/>
      </c>
      <c r="J21" s="38">
        <f>SUM('TTL-NS'!J20,'TTL-SN'!J20)</f>
        <v>44819</v>
      </c>
      <c r="K21" s="47">
        <f>IF('TTL-NS'!K20="","",SUM('TTL-NS'!K20,'TTL-SN'!K20))</f>
      </c>
      <c r="L21" s="21">
        <f t="shared" si="4"/>
      </c>
      <c r="M21" s="71">
        <f t="shared" si="5"/>
      </c>
      <c r="N21" s="38">
        <f t="shared" si="9"/>
        <v>197376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>
      <c r="A22" s="20" t="s">
        <v>16</v>
      </c>
      <c r="B22" s="38">
        <f>SUM('TTL-NS'!B21,'TTL-SN'!B21)</f>
        <v>72371</v>
      </c>
      <c r="C22" s="47">
        <f>IF('TTL-NS'!C21="","",SUM('TTL-NS'!C21,'TTL-SN'!C21))</f>
      </c>
      <c r="D22" s="21">
        <f t="shared" si="0"/>
      </c>
      <c r="E22" s="71">
        <f t="shared" si="1"/>
      </c>
      <c r="F22" s="38">
        <f>SUM('TTL-NS'!F21,'TTL-SN'!F21)</f>
        <v>71550</v>
      </c>
      <c r="G22" s="47">
        <f>IF('TTL-NS'!G21="","",SUM('TTL-NS'!G21,'TTL-SN'!G21))</f>
      </c>
      <c r="H22" s="21">
        <f t="shared" si="2"/>
      </c>
      <c r="I22" s="71">
        <f t="shared" si="3"/>
      </c>
      <c r="J22" s="38">
        <f>SUM('TTL-NS'!J21,'TTL-SN'!J21)</f>
        <v>37913</v>
      </c>
      <c r="K22" s="47">
        <f>IF('TTL-NS'!K21="","",SUM('TTL-NS'!K21,'TTL-SN'!K21))</f>
      </c>
      <c r="L22" s="21">
        <f t="shared" si="4"/>
      </c>
      <c r="M22" s="71">
        <f t="shared" si="5"/>
      </c>
      <c r="N22" s="38">
        <f t="shared" si="9"/>
        <v>181834</v>
      </c>
      <c r="O22" s="34">
        <f t="shared" si="6"/>
      </c>
      <c r="P22" s="21">
        <f t="shared" si="7"/>
      </c>
      <c r="Q22" s="71">
        <f t="shared" si="8"/>
      </c>
    </row>
    <row r="23" spans="1:17" ht="11.25" customHeight="1" thickBot="1">
      <c r="A23" s="23" t="s">
        <v>17</v>
      </c>
      <c r="B23" s="39">
        <f>SUM('TTL-NS'!B22,'TTL-SN'!B22)</f>
        <v>53433</v>
      </c>
      <c r="C23" s="49">
        <f>IF('TTL-NS'!C22="","",SUM('TTL-NS'!C22,'TTL-SN'!C22))</f>
      </c>
      <c r="D23" s="21">
        <f t="shared" si="0"/>
      </c>
      <c r="E23" s="57">
        <f t="shared" si="1"/>
      </c>
      <c r="F23" s="39">
        <f>SUM('TTL-NS'!F22,'TTL-SN'!F22)</f>
        <v>56561</v>
      </c>
      <c r="G23" s="49">
        <f>IF('TTL-NS'!G22="","",SUM('TTL-NS'!G22,'TTL-SN'!G22))</f>
      </c>
      <c r="H23" s="21">
        <f t="shared" si="2"/>
      </c>
      <c r="I23" s="57">
        <f t="shared" si="3"/>
      </c>
      <c r="J23" s="39">
        <f>SUM('TTL-NS'!J22,'TTL-SN'!J22)</f>
        <v>27360</v>
      </c>
      <c r="K23" s="49">
        <f>IF('TTL-NS'!K22="","",SUM('TTL-NS'!K22,'TTL-SN'!K22))</f>
      </c>
      <c r="L23" s="21">
        <f t="shared" si="4"/>
      </c>
      <c r="M23" s="57">
        <f t="shared" si="5"/>
      </c>
      <c r="N23" s="39">
        <f t="shared" si="9"/>
        <v>137354</v>
      </c>
      <c r="O23" s="36">
        <f t="shared" si="6"/>
      </c>
      <c r="P23" s="21">
        <f t="shared" si="7"/>
      </c>
      <c r="Q23" s="57">
        <f t="shared" si="8"/>
      </c>
    </row>
    <row r="24" spans="1:17" ht="11.25" customHeight="1" thickBot="1">
      <c r="A24" s="44" t="s">
        <v>3</v>
      </c>
      <c r="B24" s="41">
        <f>IF(C25&lt;7,B25,B26)</f>
        <v>209775</v>
      </c>
      <c r="C24" s="42">
        <f>IF(C12="","",SUM(C12:C23))</f>
        <v>202963</v>
      </c>
      <c r="D24" s="43">
        <f>IF(D12="","",SUM(D12:D23))</f>
        <v>-6812</v>
      </c>
      <c r="E24" s="64">
        <f t="shared" si="1"/>
        <v>-0.03247288761768562</v>
      </c>
      <c r="F24" s="41">
        <f>IF(G25&lt;7,F25,F26)</f>
        <v>229490</v>
      </c>
      <c r="G24" s="42">
        <f>IF(G12="","",SUM(G12:G23))</f>
        <v>209231</v>
      </c>
      <c r="H24" s="43">
        <f>IF(H12="","",SUM(H12:H23))</f>
        <v>-20259</v>
      </c>
      <c r="I24" s="64">
        <f t="shared" si="3"/>
        <v>-0.08827835635539676</v>
      </c>
      <c r="J24" s="41">
        <f>IF(K25&lt;7,J25,J26)</f>
        <v>99423</v>
      </c>
      <c r="K24" s="42">
        <f>IF(K12="","",SUM(K12:K23))</f>
        <v>102028</v>
      </c>
      <c r="L24" s="43">
        <f>IF(L12="","",SUM(L12:L23))</f>
        <v>2605</v>
      </c>
      <c r="M24" s="64">
        <f t="shared" si="5"/>
        <v>0.026201180813292698</v>
      </c>
      <c r="N24" s="41">
        <f>IF(O25&lt;7,N25,N26)</f>
        <v>538688</v>
      </c>
      <c r="O24" s="42">
        <f>IF(O12="","",SUM(O12:O23))</f>
        <v>514222</v>
      </c>
      <c r="P24" s="43">
        <f>IF(P12="","",SUM(P12:P23))</f>
        <v>-24466</v>
      </c>
      <c r="Q24" s="64">
        <f t="shared" si="8"/>
        <v>-0.04541775573244624</v>
      </c>
    </row>
    <row r="25" spans="1:17" ht="11.25" customHeight="1">
      <c r="A25" s="89" t="s">
        <v>28</v>
      </c>
      <c r="B25" s="94">
        <f>IF(C25=1,B12,IF(C25=2,SUM(B12:B13),IF(C25=3,SUM(B12:B14),IF(C25=4,SUM(B12:B15),IF(C25=5,SUM(B12:B16),IF(C25=6,SUM(B12:B17),""))))))</f>
        <v>209775</v>
      </c>
      <c r="C25" s="59">
        <f>COUNTIF(C12:C23,"&gt;0")</f>
        <v>3</v>
      </c>
      <c r="D25" s="59"/>
      <c r="E25" s="60"/>
      <c r="F25" s="94">
        <f>IF(G25=1,F12,IF(G25=2,SUM(F12:F13),IF(G25=3,SUM(F12:F14),IF(G25=4,SUM(F12:F15),IF(G25=5,SUM(F12:F16),IF(G25=6,SUM(F12:F17),""))))))</f>
        <v>229490</v>
      </c>
      <c r="G25" s="59">
        <f>COUNTIF(G12:G23,"&gt;0")</f>
        <v>3</v>
      </c>
      <c r="H25" s="59"/>
      <c r="I25" s="60"/>
      <c r="J25" s="94">
        <f>IF(K25=1,J12,IF(K25=2,SUM(J12:J13),IF(K25=3,SUM(J12:J14),IF(K25=4,SUM(J12:J15),IF(K25=5,SUM(J12:J16),IF(K25=6,SUM(J12:J17),""))))))</f>
        <v>99423</v>
      </c>
      <c r="K25" s="59">
        <f>COUNTIF(K12:K23,"&gt;0")</f>
        <v>3</v>
      </c>
      <c r="L25" s="59"/>
      <c r="M25" s="60"/>
      <c r="N25" s="94">
        <f>IF(O25=1,N12,IF(O25=2,SUM(N12:N13),IF(O25=3,SUM(N12:N14),IF(O25=4,SUM(N12:N15),IF(O25=5,SUM(N12:N16),IF(O25=6,SUM(N12:N17),""))))))</f>
        <v>538688</v>
      </c>
      <c r="O25" s="59">
        <f>COUNTIF(O12:O23,"&gt;0")</f>
        <v>3</v>
      </c>
      <c r="P25" s="24"/>
      <c r="Q25" s="25"/>
    </row>
    <row r="26" spans="2:14" ht="11.25" customHeight="1">
      <c r="B26" s="92">
        <f>IF(C25=7,SUM(B12:B18),IF(C25=8,SUM(B12:B19),IF(C25=9,SUM(B12:B20),IF(C25=10,SUM(B12:B21),IF(C25=11,SUM(B12:B22),SUM(B12:B23))))))</f>
        <v>832165</v>
      </c>
      <c r="F26" s="92">
        <f>IF(G25=7,SUM(F12:F18),IF(G25=8,SUM(F12:F19),IF(G25=9,SUM(F12:F20),IF(G25=10,SUM(F12:F21),IF(G25=11,SUM(F12:F22),SUM(F12:F23))))))</f>
        <v>849500</v>
      </c>
      <c r="J26" s="92">
        <f>IF(K25=7,SUM(J12:J18),IF(K25=8,SUM(J12:J19),IF(K25=9,SUM(J12:J20),IF(K25=10,SUM(J12:J21),IF(K25=11,SUM(J12:J22),SUM(J12:J23))))))</f>
        <v>418642</v>
      </c>
      <c r="N26" s="92">
        <f>IF(O25=7,SUM(N12:N18),IF(O25=8,SUM(N12:N19),IF(O25=9,SUM(N12:N20),IF(O25=10,SUM(N12:N21),IF(O25=11,SUM(N12:N22),SUM(N12:N23))))))</f>
        <v>2100307</v>
      </c>
    </row>
    <row r="27" spans="1:6" ht="11.25" customHeight="1">
      <c r="A27" s="7"/>
      <c r="B27" s="121" t="s">
        <v>22</v>
      </c>
      <c r="C27" s="122"/>
      <c r="D27" s="122"/>
      <c r="E27" s="122"/>
      <c r="F27" s="9" t="s">
        <v>31</v>
      </c>
    </row>
    <row r="28" spans="2:6" ht="11.25" customHeight="1" thickBot="1">
      <c r="B28" s="123"/>
      <c r="C28" s="123"/>
      <c r="D28" s="123"/>
      <c r="E28" s="123"/>
      <c r="F28" s="2" t="s">
        <v>34</v>
      </c>
    </row>
    <row r="29" spans="1:17" ht="11.25" customHeight="1" thickBot="1">
      <c r="A29" s="26" t="s">
        <v>4</v>
      </c>
      <c r="B29" s="107" t="s">
        <v>0</v>
      </c>
      <c r="C29" s="119"/>
      <c r="D29" s="119"/>
      <c r="E29" s="120"/>
      <c r="F29" s="116" t="s">
        <v>1</v>
      </c>
      <c r="G29" s="117"/>
      <c r="H29" s="117"/>
      <c r="I29" s="118"/>
      <c r="J29" s="124" t="s">
        <v>2</v>
      </c>
      <c r="K29" s="125"/>
      <c r="L29" s="125"/>
      <c r="M29" s="125"/>
      <c r="N29" s="113" t="s">
        <v>3</v>
      </c>
      <c r="O29" s="114"/>
      <c r="P29" s="114"/>
      <c r="Q29" s="115"/>
    </row>
    <row r="30" spans="1:19" ht="11.25" customHeight="1" thickBot="1">
      <c r="A30" s="10"/>
      <c r="B30" s="50">
        <f>$B$10</f>
        <v>2012</v>
      </c>
      <c r="C30" s="51">
        <f>$C$10</f>
        <v>2013</v>
      </c>
      <c r="D30" s="110" t="s">
        <v>5</v>
      </c>
      <c r="E30" s="111"/>
      <c r="F30" s="50">
        <f>$B$10</f>
        <v>2012</v>
      </c>
      <c r="G30" s="51">
        <f>$C$10</f>
        <v>2013</v>
      </c>
      <c r="H30" s="110" t="s">
        <v>5</v>
      </c>
      <c r="I30" s="111"/>
      <c r="J30" s="50">
        <f>$B$10</f>
        <v>2012</v>
      </c>
      <c r="K30" s="51">
        <f>$C$10</f>
        <v>2013</v>
      </c>
      <c r="L30" s="110" t="s">
        <v>5</v>
      </c>
      <c r="M30" s="111"/>
      <c r="N30" s="50">
        <f>$B$10</f>
        <v>2012</v>
      </c>
      <c r="O30" s="51">
        <f>$C$10</f>
        <v>2013</v>
      </c>
      <c r="P30" s="110" t="s">
        <v>5</v>
      </c>
      <c r="Q30" s="112"/>
      <c r="R30" s="86" t="str">
        <f>RIGHT(B10,2)</f>
        <v>12</v>
      </c>
      <c r="S30" s="85" t="str">
        <f>RIGHT(C10,2)</f>
        <v>13</v>
      </c>
    </row>
    <row r="31" spans="1:19" ht="11.25" customHeight="1" thickBot="1">
      <c r="A31" s="88" t="s">
        <v>24</v>
      </c>
      <c r="B31" s="11">
        <f>T44</f>
        <v>65</v>
      </c>
      <c r="C31" s="12">
        <f>U44</f>
        <v>62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31" t="s">
        <v>23</v>
      </c>
      <c r="S31" s="132"/>
    </row>
    <row r="32" spans="1:21" ht="11.25" customHeight="1">
      <c r="A32" s="20" t="s">
        <v>6</v>
      </c>
      <c r="B32" s="78">
        <f aca="true" t="shared" si="10" ref="B32:B43">IF(C12="","",B12/$R32)</f>
        <v>2963.5</v>
      </c>
      <c r="C32" s="81">
        <f aca="true" t="shared" si="11" ref="C32:C43">IF(C12="","",C12/$S32)</f>
        <v>2998.8636363636365</v>
      </c>
      <c r="D32" s="77">
        <f aca="true" t="shared" si="12" ref="D32:D43">IF(C32="","",C32-B32)</f>
        <v>35.36363636363649</v>
      </c>
      <c r="E32" s="73">
        <f aca="true" t="shared" si="13" ref="E32:E44">IF(C32="","",(C32-B32)/ABS(B32))</f>
        <v>0.011933064404803944</v>
      </c>
      <c r="F32" s="78">
        <f aca="true" t="shared" si="14" ref="F32:F43">IF(G12="","",F12/$R32)</f>
        <v>3153.681818181818</v>
      </c>
      <c r="G32" s="81">
        <f aca="true" t="shared" si="15" ref="G32:G43">IF(G12="","",G12/$S32)</f>
        <v>3180.318181818182</v>
      </c>
      <c r="H32" s="97">
        <f aca="true" t="shared" si="16" ref="H32:H43">IF(G32="","",G32-F32)</f>
        <v>26.636363636363967</v>
      </c>
      <c r="I32" s="73">
        <f aca="true" t="shared" si="17" ref="I32:I44">IF(G32="","",(G32-F32)/ABS(F32))</f>
        <v>0.00844611637191749</v>
      </c>
      <c r="J32" s="78">
        <f aca="true" t="shared" si="18" ref="J32:J43">IF(K12="","",J12/$R32)</f>
        <v>1365.9545454545455</v>
      </c>
      <c r="K32" s="81">
        <f aca="true" t="shared" si="19" ref="K32:K43">IF(K12="","",K12/$S32)</f>
        <v>1445</v>
      </c>
      <c r="L32" s="97">
        <f aca="true" t="shared" si="20" ref="L32:L43">IF(K32="","",K32-J32)</f>
        <v>79.0454545454545</v>
      </c>
      <c r="M32" s="73">
        <f aca="true" t="shared" si="21" ref="M32:M44">IF(K32="","",(K32-J32)/ABS(J32))</f>
        <v>0.057868290572693055</v>
      </c>
      <c r="N32" s="78">
        <f aca="true" t="shared" si="22" ref="N32:N43">IF(O12="","",N12/$R32)</f>
        <v>7483.136363636364</v>
      </c>
      <c r="O32" s="81">
        <f aca="true" t="shared" si="23" ref="O32:O43">IF(O12="","",O12/$S32)</f>
        <v>7624.181818181818</v>
      </c>
      <c r="P32" s="97">
        <f aca="true" t="shared" si="24" ref="P32:P43">IF(O32="","",O32-N32)</f>
        <v>141.04545454545405</v>
      </c>
      <c r="Q32" s="71">
        <f aca="true" t="shared" si="25" ref="Q32:Q44">IF(O32="","",(O32-N32)/ABS(N32))</f>
        <v>0.018848441040156892</v>
      </c>
      <c r="R32" s="67">
        <v>22</v>
      </c>
      <c r="S32" s="68">
        <v>22</v>
      </c>
      <c r="T32" s="93">
        <f>IF(OR(N32="",N32=0),"",R32)</f>
        <v>22</v>
      </c>
      <c r="U32" s="93">
        <f>IF(OR(O32="",O32=0),"",S32)</f>
        <v>22</v>
      </c>
    </row>
    <row r="33" spans="1:21" ht="11.25" customHeight="1">
      <c r="A33" s="20" t="s">
        <v>7</v>
      </c>
      <c r="B33" s="78">
        <f t="shared" si="10"/>
        <v>3204.6190476190477</v>
      </c>
      <c r="C33" s="81">
        <f t="shared" si="11"/>
        <v>3273.4</v>
      </c>
      <c r="D33" s="77">
        <f t="shared" si="12"/>
        <v>68.78095238095239</v>
      </c>
      <c r="E33" s="73">
        <f t="shared" si="13"/>
        <v>0.02146306670431074</v>
      </c>
      <c r="F33" s="78">
        <f t="shared" si="14"/>
        <v>3638.2380952380954</v>
      </c>
      <c r="G33" s="81">
        <f t="shared" si="15"/>
        <v>3345.75</v>
      </c>
      <c r="H33" s="97">
        <f t="shared" si="16"/>
        <v>-292.4880952380954</v>
      </c>
      <c r="I33" s="73">
        <f t="shared" si="17"/>
        <v>-0.0803927856236012</v>
      </c>
      <c r="J33" s="78">
        <f t="shared" si="18"/>
        <v>1475</v>
      </c>
      <c r="K33" s="81">
        <f t="shared" si="19"/>
        <v>1821.05</v>
      </c>
      <c r="L33" s="97">
        <f t="shared" si="20"/>
        <v>346.04999999999995</v>
      </c>
      <c r="M33" s="73">
        <f t="shared" si="21"/>
        <v>0.23461016949152538</v>
      </c>
      <c r="N33" s="78">
        <f t="shared" si="22"/>
        <v>8317.857142857143</v>
      </c>
      <c r="O33" s="81">
        <f t="shared" si="23"/>
        <v>8440.2</v>
      </c>
      <c r="P33" s="97">
        <f t="shared" si="24"/>
        <v>122.34285714285761</v>
      </c>
      <c r="Q33" s="71">
        <f t="shared" si="25"/>
        <v>0.014708458565908172</v>
      </c>
      <c r="R33" s="67">
        <v>21</v>
      </c>
      <c r="S33" s="68">
        <v>20</v>
      </c>
      <c r="T33" s="93">
        <f aca="true" t="shared" si="26" ref="T33:U43">IF(OR(N33="",N33=0),"",R33)</f>
        <v>21</v>
      </c>
      <c r="U33" s="93">
        <f t="shared" si="26"/>
        <v>20</v>
      </c>
    </row>
    <row r="34" spans="1:21" ht="11.25" customHeight="1">
      <c r="A34" s="20" t="s">
        <v>8</v>
      </c>
      <c r="B34" s="79">
        <f t="shared" si="10"/>
        <v>3512.7727272727275</v>
      </c>
      <c r="C34" s="82">
        <f t="shared" si="11"/>
        <v>3576</v>
      </c>
      <c r="D34" s="84">
        <f t="shared" si="12"/>
        <v>63.22727272727252</v>
      </c>
      <c r="E34" s="74">
        <f t="shared" si="13"/>
        <v>0.017999249492113137</v>
      </c>
      <c r="F34" s="79">
        <f t="shared" si="14"/>
        <v>3804.818181818182</v>
      </c>
      <c r="G34" s="82">
        <f t="shared" si="15"/>
        <v>3617.45</v>
      </c>
      <c r="H34" s="98">
        <f t="shared" si="16"/>
        <v>-187.36818181818217</v>
      </c>
      <c r="I34" s="74">
        <f t="shared" si="17"/>
        <v>-0.0492449764652475</v>
      </c>
      <c r="J34" s="79">
        <f t="shared" si="18"/>
        <v>1745.3181818181818</v>
      </c>
      <c r="K34" s="82">
        <f t="shared" si="19"/>
        <v>1690.85</v>
      </c>
      <c r="L34" s="98">
        <f t="shared" si="20"/>
        <v>-54.46818181818185</v>
      </c>
      <c r="M34" s="74">
        <f t="shared" si="21"/>
        <v>-0.031208167304737366</v>
      </c>
      <c r="N34" s="79">
        <f t="shared" si="22"/>
        <v>9062.90909090909</v>
      </c>
      <c r="O34" s="82">
        <f t="shared" si="23"/>
        <v>8884.3</v>
      </c>
      <c r="P34" s="98">
        <f t="shared" si="24"/>
        <v>-178.6090909090908</v>
      </c>
      <c r="Q34" s="72">
        <f t="shared" si="25"/>
        <v>-0.019707699715122567</v>
      </c>
      <c r="R34" s="69">
        <v>22</v>
      </c>
      <c r="S34" s="103">
        <v>20</v>
      </c>
      <c r="T34" s="93">
        <f t="shared" si="26"/>
        <v>22</v>
      </c>
      <c r="U34" s="93">
        <f t="shared" si="26"/>
        <v>20</v>
      </c>
    </row>
    <row r="35" spans="1:21" ht="11.25" customHeight="1">
      <c r="A35" s="20" t="s">
        <v>9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19</v>
      </c>
      <c r="S35" s="68">
        <v>21</v>
      </c>
      <c r="T35" s="93">
        <f t="shared" si="26"/>
      </c>
      <c r="U35" s="93">
        <f t="shared" si="26"/>
      </c>
    </row>
    <row r="36" spans="1:21" ht="11.25" customHeight="1">
      <c r="A36" s="20" t="s">
        <v>10</v>
      </c>
      <c r="B36" s="78">
        <f t="shared" si="10"/>
      </c>
      <c r="C36" s="81">
        <f t="shared" si="11"/>
      </c>
      <c r="D36" s="77">
        <f t="shared" si="12"/>
      </c>
      <c r="E36" s="73">
        <f t="shared" si="13"/>
      </c>
      <c r="F36" s="78">
        <f t="shared" si="14"/>
      </c>
      <c r="G36" s="81">
        <f t="shared" si="15"/>
      </c>
      <c r="H36" s="97">
        <f t="shared" si="16"/>
      </c>
      <c r="I36" s="73">
        <f t="shared" si="17"/>
      </c>
      <c r="J36" s="78">
        <f t="shared" si="18"/>
      </c>
      <c r="K36" s="81">
        <f t="shared" si="19"/>
      </c>
      <c r="L36" s="97">
        <f t="shared" si="20"/>
      </c>
      <c r="M36" s="73">
        <f t="shared" si="21"/>
      </c>
      <c r="N36" s="78">
        <f t="shared" si="22"/>
      </c>
      <c r="O36" s="81">
        <f t="shared" si="23"/>
      </c>
      <c r="P36" s="97">
        <f t="shared" si="24"/>
      </c>
      <c r="Q36" s="71">
        <f t="shared" si="25"/>
      </c>
      <c r="R36" s="67">
        <v>20</v>
      </c>
      <c r="S36" s="68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11</v>
      </c>
      <c r="B37" s="79">
        <f t="shared" si="10"/>
      </c>
      <c r="C37" s="82">
        <f t="shared" si="11"/>
      </c>
      <c r="D37" s="84">
        <f t="shared" si="12"/>
      </c>
      <c r="E37" s="74">
        <f t="shared" si="13"/>
      </c>
      <c r="F37" s="79">
        <f t="shared" si="14"/>
      </c>
      <c r="G37" s="82">
        <f t="shared" si="15"/>
      </c>
      <c r="H37" s="98">
        <f t="shared" si="16"/>
      </c>
      <c r="I37" s="74">
        <f t="shared" si="17"/>
      </c>
      <c r="J37" s="79">
        <f t="shared" si="18"/>
      </c>
      <c r="K37" s="82">
        <f t="shared" si="19"/>
      </c>
      <c r="L37" s="98">
        <f t="shared" si="20"/>
      </c>
      <c r="M37" s="74">
        <f t="shared" si="21"/>
      </c>
      <c r="N37" s="79">
        <f t="shared" si="22"/>
      </c>
      <c r="O37" s="82">
        <f t="shared" si="23"/>
      </c>
      <c r="P37" s="98">
        <f t="shared" si="24"/>
      </c>
      <c r="Q37" s="72">
        <f t="shared" si="25"/>
      </c>
      <c r="R37" s="69">
        <v>21</v>
      </c>
      <c r="S37" s="103">
        <v>20</v>
      </c>
      <c r="T37" s="93">
        <f t="shared" si="26"/>
      </c>
      <c r="U37" s="93">
        <f t="shared" si="26"/>
      </c>
    </row>
    <row r="38" spans="1:21" ht="11.25" customHeight="1">
      <c r="A38" s="20" t="s">
        <v>12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23</v>
      </c>
      <c r="T38" s="93">
        <f t="shared" si="26"/>
      </c>
      <c r="U38" s="93">
        <f t="shared" si="26"/>
      </c>
    </row>
    <row r="39" spans="1:21" ht="11.25" customHeight="1">
      <c r="A39" s="20" t="s">
        <v>13</v>
      </c>
      <c r="B39" s="78">
        <f t="shared" si="10"/>
      </c>
      <c r="C39" s="81">
        <f t="shared" si="11"/>
      </c>
      <c r="D39" s="77">
        <f t="shared" si="12"/>
      </c>
      <c r="E39" s="73">
        <f t="shared" si="13"/>
      </c>
      <c r="F39" s="78">
        <f t="shared" si="14"/>
      </c>
      <c r="G39" s="81">
        <f t="shared" si="15"/>
      </c>
      <c r="H39" s="97">
        <f t="shared" si="16"/>
      </c>
      <c r="I39" s="73">
        <f t="shared" si="17"/>
      </c>
      <c r="J39" s="78">
        <f t="shared" si="18"/>
      </c>
      <c r="K39" s="81">
        <f t="shared" si="19"/>
      </c>
      <c r="L39" s="97">
        <f t="shared" si="20"/>
      </c>
      <c r="M39" s="73">
        <f t="shared" si="21"/>
      </c>
      <c r="N39" s="78">
        <f t="shared" si="22"/>
      </c>
      <c r="O39" s="81">
        <f t="shared" si="23"/>
      </c>
      <c r="P39" s="97">
        <f t="shared" si="24"/>
      </c>
      <c r="Q39" s="71">
        <f t="shared" si="25"/>
      </c>
      <c r="R39" s="67">
        <v>22</v>
      </c>
      <c r="S39" s="68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14</v>
      </c>
      <c r="B40" s="79">
        <f t="shared" si="10"/>
      </c>
      <c r="C40" s="82">
        <f t="shared" si="11"/>
      </c>
      <c r="D40" s="84">
        <f t="shared" si="12"/>
      </c>
      <c r="E40" s="74">
        <f t="shared" si="13"/>
      </c>
      <c r="F40" s="79">
        <f t="shared" si="14"/>
      </c>
      <c r="G40" s="82">
        <f t="shared" si="15"/>
      </c>
      <c r="H40" s="98">
        <f t="shared" si="16"/>
      </c>
      <c r="I40" s="74">
        <f t="shared" si="17"/>
      </c>
      <c r="J40" s="79">
        <f t="shared" si="18"/>
      </c>
      <c r="K40" s="82">
        <f t="shared" si="19"/>
      </c>
      <c r="L40" s="98">
        <f t="shared" si="20"/>
      </c>
      <c r="M40" s="74">
        <f t="shared" si="21"/>
      </c>
      <c r="N40" s="79">
        <f t="shared" si="22"/>
      </c>
      <c r="O40" s="82">
        <f t="shared" si="23"/>
      </c>
      <c r="P40" s="98">
        <f t="shared" si="24"/>
      </c>
      <c r="Q40" s="72">
        <f t="shared" si="25"/>
      </c>
      <c r="R40" s="69">
        <v>20</v>
      </c>
      <c r="S40" s="103">
        <v>21</v>
      </c>
      <c r="T40" s="93">
        <f t="shared" si="26"/>
      </c>
      <c r="U40" s="93">
        <f t="shared" si="26"/>
      </c>
    </row>
    <row r="41" spans="1:21" ht="11.25" customHeight="1">
      <c r="A41" s="20" t="s">
        <v>15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23</v>
      </c>
      <c r="S41" s="68">
        <v>23</v>
      </c>
      <c r="T41" s="93">
        <f t="shared" si="26"/>
      </c>
      <c r="U41" s="93">
        <f t="shared" si="26"/>
      </c>
    </row>
    <row r="42" spans="1:21" ht="11.25" customHeight="1">
      <c r="A42" s="20" t="s">
        <v>16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22</v>
      </c>
      <c r="S42" s="68">
        <v>21</v>
      </c>
      <c r="T42" s="93">
        <f t="shared" si="26"/>
      </c>
      <c r="U42" s="93">
        <f t="shared" si="26"/>
      </c>
    </row>
    <row r="43" spans="1:21" ht="11.25" customHeight="1" thickBot="1">
      <c r="A43" s="20" t="s">
        <v>17</v>
      </c>
      <c r="B43" s="78">
        <f t="shared" si="10"/>
      </c>
      <c r="C43" s="81">
        <f t="shared" si="11"/>
      </c>
      <c r="D43" s="77">
        <f t="shared" si="12"/>
      </c>
      <c r="E43" s="73">
        <f t="shared" si="13"/>
      </c>
      <c r="F43" s="78">
        <f t="shared" si="14"/>
      </c>
      <c r="G43" s="81">
        <f t="shared" si="15"/>
      </c>
      <c r="H43" s="97">
        <f t="shared" si="16"/>
      </c>
      <c r="I43" s="73">
        <f t="shared" si="17"/>
      </c>
      <c r="J43" s="78">
        <f t="shared" si="18"/>
      </c>
      <c r="K43" s="81">
        <f t="shared" si="19"/>
      </c>
      <c r="L43" s="97">
        <f t="shared" si="20"/>
      </c>
      <c r="M43" s="73">
        <f t="shared" si="21"/>
      </c>
      <c r="N43" s="78">
        <f t="shared" si="22"/>
      </c>
      <c r="O43" s="81">
        <f t="shared" si="23"/>
      </c>
      <c r="P43" s="97">
        <f t="shared" si="24"/>
      </c>
      <c r="Q43" s="71">
        <f t="shared" si="25"/>
      </c>
      <c r="R43" s="67">
        <v>19</v>
      </c>
      <c r="S43" s="68">
        <v>20</v>
      </c>
      <c r="T43" s="93">
        <f t="shared" si="26"/>
      </c>
      <c r="U43" s="93">
        <f t="shared" si="26"/>
      </c>
    </row>
    <row r="44" spans="1:21" ht="11.25" customHeight="1" thickBot="1">
      <c r="A44" s="91" t="s">
        <v>29</v>
      </c>
      <c r="B44" s="80">
        <f>AVERAGE(B32:B43)</f>
        <v>3226.9639249639254</v>
      </c>
      <c r="C44" s="83">
        <f>IF(C12="","",AVERAGE(C32:C43))</f>
        <v>3282.7545454545457</v>
      </c>
      <c r="D44" s="75">
        <f>IF(D32="","",AVERAGE(D32:D43))</f>
        <v>55.79062049062046</v>
      </c>
      <c r="E44" s="65">
        <f t="shared" si="13"/>
        <v>0.017288888809391945</v>
      </c>
      <c r="F44" s="80">
        <f>AVERAGE(F32:F43)</f>
        <v>3532.246031746032</v>
      </c>
      <c r="G44" s="83">
        <f>IF(G12="","",AVERAGE(G32:G43))</f>
        <v>3381.172727272727</v>
      </c>
      <c r="H44" s="99">
        <f>IF(H32="","",AVERAGE(H32:H43))</f>
        <v>-151.07330447330455</v>
      </c>
      <c r="I44" s="65">
        <f t="shared" si="17"/>
        <v>-0.04276975700886479</v>
      </c>
      <c r="J44" s="80">
        <f>AVERAGE(J32:J43)</f>
        <v>1528.7575757575758</v>
      </c>
      <c r="K44" s="83">
        <f>IF(K12="","",AVERAGE(K32:K43))</f>
        <v>1652.3</v>
      </c>
      <c r="L44" s="99">
        <f>IF(L32="","",AVERAGE(L32:L43))</f>
        <v>123.5424242424242</v>
      </c>
      <c r="M44" s="65">
        <f t="shared" si="21"/>
        <v>0.08081230549664015</v>
      </c>
      <c r="N44" s="80">
        <f>AVERAGE(N32:N43)</f>
        <v>8287.967532467532</v>
      </c>
      <c r="O44" s="83">
        <f>IF(O12="","",AVERAGE(O32:O43))</f>
        <v>8316.227272727272</v>
      </c>
      <c r="P44" s="99">
        <f>IF(P32="","",AVERAGE(P32:P43))</f>
        <v>28.259740259740283</v>
      </c>
      <c r="Q44" s="66">
        <f t="shared" si="25"/>
        <v>0.0034097310527623007</v>
      </c>
      <c r="R44" s="70">
        <f>SUM(R32:R43)</f>
        <v>253</v>
      </c>
      <c r="S44" s="104">
        <f>SUM(S32:S43)</f>
        <v>252</v>
      </c>
      <c r="T44" s="93">
        <f>SUM(T32:T43)</f>
        <v>65</v>
      </c>
      <c r="U44" s="92">
        <f>SUM(U32:U43)</f>
        <v>62</v>
      </c>
    </row>
    <row r="45" spans="1:17" s="30" customFormat="1" ht="11.25" customHeight="1" thickBot="1">
      <c r="A45" s="90" t="s">
        <v>28</v>
      </c>
      <c r="B45" s="37"/>
      <c r="C45" s="61">
        <f>COUNTIF(C32:C43,"&gt;0")</f>
        <v>3</v>
      </c>
      <c r="D45" s="62"/>
      <c r="E45" s="63"/>
      <c r="F45" s="61"/>
      <c r="G45" s="61">
        <f>COUNTIF(G32:G43,"&gt;0")</f>
        <v>3</v>
      </c>
      <c r="H45" s="62"/>
      <c r="I45" s="63"/>
      <c r="J45" s="61"/>
      <c r="K45" s="61">
        <f>COUNTIF(K32:K43,"&gt;0")</f>
        <v>3</v>
      </c>
      <c r="L45" s="62"/>
      <c r="M45" s="63"/>
      <c r="N45" s="61"/>
      <c r="O45" s="61">
        <f>COUNTIF(O32:O43,"&gt;0")</f>
        <v>3</v>
      </c>
      <c r="P45" s="28"/>
      <c r="Q45" s="58"/>
    </row>
    <row r="46" spans="1:16" ht="13.5" customHeight="1" thickBot="1">
      <c r="A46" s="136"/>
      <c r="B46" s="137"/>
      <c r="C46" s="138"/>
      <c r="D46" s="100"/>
      <c r="H46" s="87"/>
      <c r="L46" s="87"/>
      <c r="P46" s="87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/>
  <mergeCells count="24">
    <mergeCell ref="A46:C46"/>
    <mergeCell ref="B7:E8"/>
    <mergeCell ref="B27:E28"/>
    <mergeCell ref="B2:E2"/>
    <mergeCell ref="D3:E3"/>
    <mergeCell ref="D4:E4"/>
    <mergeCell ref="B3:C3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  <mergeCell ref="J29:M29"/>
    <mergeCell ref="N29:Q29"/>
  </mergeCells>
  <conditionalFormatting sqref="S32:S44">
    <cfRule type="expression" priority="3" dxfId="1" stopIfTrue="1">
      <formula>S32&lt;$R32</formula>
    </cfRule>
    <cfRule type="expression" priority="4" dxfId="0" stopIfTrue="1">
      <formula>S32&gt;$R32</formula>
    </cfRule>
  </conditionalFormatting>
  <conditionalFormatting sqref="B15:B22 F13:F23 J13:J23 N13:N23">
    <cfRule type="expression" priority="5" dxfId="2" stopIfTrue="1">
      <formula>C13=""</formula>
    </cfRule>
  </conditionalFormatting>
  <conditionalFormatting sqref="B23 B13:B14">
    <cfRule type="expression" priority="6" dxfId="2" stopIfTrue="1">
      <formula>C13=""</formula>
    </cfRule>
  </conditionalFormatting>
  <conditionalFormatting sqref="S32:S43">
    <cfRule type="expression" priority="1" dxfId="1" stopIfTrue="1">
      <formula>S32&lt;$R32</formula>
    </cfRule>
    <cfRule type="expression" priority="2" dxfId="0" stopIfTrue="1">
      <formula>S32&gt;$R32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2"/>
  <headerFooter alignWithMargins="0">
    <oddFooter>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9" t="s">
        <v>36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0" t="s">
        <v>25</v>
      </c>
      <c r="E3" s="130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462</v>
      </c>
      <c r="C11" s="31">
        <v>534</v>
      </c>
      <c r="D11" s="21">
        <f>IF(OR(C11="",B11=0),"",C11-B11)</f>
        <v>72</v>
      </c>
      <c r="E11" s="71">
        <f aca="true" t="shared" si="0" ref="E11:E22">IF(D11="","",D11/B11)</f>
        <v>0.15584415584415584</v>
      </c>
      <c r="F11" s="38">
        <v>134</v>
      </c>
      <c r="G11" s="31">
        <v>153</v>
      </c>
      <c r="H11" s="21">
        <f>IF(OR(G11="",F11=0),"",G11-F11)</f>
        <v>19</v>
      </c>
      <c r="I11" s="71">
        <f aca="true" t="shared" si="1" ref="I11:I22">IF(H11="","",H11/F11)</f>
        <v>0.1417910447761194</v>
      </c>
      <c r="J11" s="38">
        <v>697</v>
      </c>
      <c r="K11" s="31">
        <v>821</v>
      </c>
      <c r="L11" s="21">
        <f>IF(OR(K11="",J11=0),"",K11-J11)</f>
        <v>124</v>
      </c>
      <c r="M11" s="71">
        <f aca="true" t="shared" si="2" ref="M11:M22">IF(L11="","",L11/J11)</f>
        <v>0.17790530846484937</v>
      </c>
      <c r="N11" s="38">
        <f aca="true" t="shared" si="3" ref="N11:N22">SUM(B11,F11,J11)</f>
        <v>1293</v>
      </c>
      <c r="O11" s="34">
        <f aca="true" t="shared" si="4" ref="O11:O22">IF(C11="","",SUM(C11,G11,K11))</f>
        <v>1508</v>
      </c>
      <c r="P11" s="21">
        <f>IF(OR(O11="",N11=0),"",O11-N11)</f>
        <v>215</v>
      </c>
      <c r="Q11" s="71">
        <f aca="true" t="shared" si="5" ref="Q11:Q22">IF(P11="","",P11/N11)</f>
        <v>0.1662799690641918</v>
      </c>
    </row>
    <row r="12" spans="1:17" ht="11.25" customHeight="1">
      <c r="A12" s="20" t="s">
        <v>7</v>
      </c>
      <c r="B12" s="38">
        <v>529</v>
      </c>
      <c r="C12" s="31">
        <v>495</v>
      </c>
      <c r="D12" s="21">
        <f aca="true" t="shared" si="6" ref="D12:D22">IF(OR(C12="",B12=0),"",C12-B12)</f>
        <v>-34</v>
      </c>
      <c r="E12" s="71">
        <f t="shared" si="0"/>
        <v>-0.06427221172022685</v>
      </c>
      <c r="F12" s="38">
        <v>187</v>
      </c>
      <c r="G12" s="31">
        <v>158</v>
      </c>
      <c r="H12" s="21">
        <f aca="true" t="shared" si="7" ref="H12:H22">IF(OR(G12="",F12=0),"",G12-F12)</f>
        <v>-29</v>
      </c>
      <c r="I12" s="71">
        <f t="shared" si="1"/>
        <v>-0.15508021390374332</v>
      </c>
      <c r="J12" s="38">
        <v>977</v>
      </c>
      <c r="K12" s="31">
        <v>975</v>
      </c>
      <c r="L12" s="21">
        <f aca="true" t="shared" si="8" ref="L12:L22">IF(OR(K12="",J12=0),"",K12-J12)</f>
        <v>-2</v>
      </c>
      <c r="M12" s="71">
        <f t="shared" si="2"/>
        <v>-0.0020470829068577278</v>
      </c>
      <c r="N12" s="38">
        <f t="shared" si="3"/>
        <v>1693</v>
      </c>
      <c r="O12" s="34">
        <f t="shared" si="4"/>
        <v>1628</v>
      </c>
      <c r="P12" s="21">
        <f aca="true" t="shared" si="9" ref="P12:P22">IF(OR(O12="",N12=0),"",O12-N12)</f>
        <v>-65</v>
      </c>
      <c r="Q12" s="71">
        <f t="shared" si="5"/>
        <v>-0.0383933845245127</v>
      </c>
    </row>
    <row r="13" spans="1:17" ht="11.25" customHeight="1">
      <c r="A13" s="27" t="s">
        <v>8</v>
      </c>
      <c r="B13" s="40">
        <v>655</v>
      </c>
      <c r="C13" s="32">
        <v>596</v>
      </c>
      <c r="D13" s="22">
        <f t="shared" si="6"/>
        <v>-59</v>
      </c>
      <c r="E13" s="72">
        <f t="shared" si="0"/>
        <v>-0.0900763358778626</v>
      </c>
      <c r="F13" s="40">
        <v>224</v>
      </c>
      <c r="G13" s="32">
        <v>179</v>
      </c>
      <c r="H13" s="22">
        <f t="shared" si="7"/>
        <v>-45</v>
      </c>
      <c r="I13" s="72">
        <f t="shared" si="1"/>
        <v>-0.20089285714285715</v>
      </c>
      <c r="J13" s="40">
        <v>1041</v>
      </c>
      <c r="K13" s="32">
        <v>1280</v>
      </c>
      <c r="L13" s="22">
        <f t="shared" si="8"/>
        <v>239</v>
      </c>
      <c r="M13" s="72">
        <f t="shared" si="2"/>
        <v>0.22958693563880883</v>
      </c>
      <c r="N13" s="40">
        <f t="shared" si="3"/>
        <v>1920</v>
      </c>
      <c r="O13" s="35">
        <f t="shared" si="4"/>
        <v>2055</v>
      </c>
      <c r="P13" s="22">
        <f t="shared" si="9"/>
        <v>135</v>
      </c>
      <c r="Q13" s="72">
        <f t="shared" si="5"/>
        <v>0.0703125</v>
      </c>
    </row>
    <row r="14" spans="1:17" ht="11.25" customHeight="1">
      <c r="A14" s="20" t="s">
        <v>9</v>
      </c>
      <c r="B14" s="38">
        <v>710</v>
      </c>
      <c r="C14" s="31"/>
      <c r="D14" s="21">
        <f t="shared" si="6"/>
      </c>
      <c r="E14" s="71">
        <f t="shared" si="0"/>
      </c>
      <c r="F14" s="38">
        <v>184</v>
      </c>
      <c r="G14" s="31"/>
      <c r="H14" s="21">
        <f t="shared" si="7"/>
      </c>
      <c r="I14" s="71">
        <f t="shared" si="1"/>
      </c>
      <c r="J14" s="38">
        <v>1404</v>
      </c>
      <c r="K14" s="31"/>
      <c r="L14" s="21">
        <f t="shared" si="8"/>
      </c>
      <c r="M14" s="71">
        <f t="shared" si="2"/>
      </c>
      <c r="N14" s="38">
        <f t="shared" si="3"/>
        <v>2298</v>
      </c>
      <c r="O14" s="34">
        <f t="shared" si="4"/>
      </c>
      <c r="P14" s="21">
        <f t="shared" si="9"/>
      </c>
      <c r="Q14" s="71">
        <f t="shared" si="5"/>
      </c>
    </row>
    <row r="15" spans="1:17" ht="11.25" customHeight="1">
      <c r="A15" s="20" t="s">
        <v>10</v>
      </c>
      <c r="B15" s="38">
        <v>504</v>
      </c>
      <c r="C15" s="31"/>
      <c r="D15" s="21">
        <f t="shared" si="6"/>
      </c>
      <c r="E15" s="71">
        <f t="shared" si="0"/>
      </c>
      <c r="F15" s="38">
        <v>201</v>
      </c>
      <c r="G15" s="31"/>
      <c r="H15" s="21">
        <f t="shared" si="7"/>
      </c>
      <c r="I15" s="71">
        <f t="shared" si="1"/>
      </c>
      <c r="J15" s="38">
        <v>1494</v>
      </c>
      <c r="K15" s="31"/>
      <c r="L15" s="21">
        <f t="shared" si="8"/>
      </c>
      <c r="M15" s="71">
        <f t="shared" si="2"/>
      </c>
      <c r="N15" s="38">
        <f t="shared" si="3"/>
        <v>2199</v>
      </c>
      <c r="O15" s="34">
        <f t="shared" si="4"/>
      </c>
      <c r="P15" s="21">
        <f t="shared" si="9"/>
      </c>
      <c r="Q15" s="71">
        <f t="shared" si="5"/>
      </c>
    </row>
    <row r="16" spans="1:17" ht="11.25" customHeight="1">
      <c r="A16" s="27" t="s">
        <v>11</v>
      </c>
      <c r="B16" s="40">
        <v>648</v>
      </c>
      <c r="C16" s="32"/>
      <c r="D16" s="22">
        <f t="shared" si="6"/>
      </c>
      <c r="E16" s="72">
        <f t="shared" si="0"/>
      </c>
      <c r="F16" s="40">
        <v>252</v>
      </c>
      <c r="G16" s="32"/>
      <c r="H16" s="22">
        <f t="shared" si="7"/>
      </c>
      <c r="I16" s="72">
        <f t="shared" si="1"/>
      </c>
      <c r="J16" s="40">
        <v>1942</v>
      </c>
      <c r="K16" s="32"/>
      <c r="L16" s="22">
        <f t="shared" si="8"/>
      </c>
      <c r="M16" s="72">
        <f t="shared" si="2"/>
      </c>
      <c r="N16" s="40">
        <f t="shared" si="3"/>
        <v>2842</v>
      </c>
      <c r="O16" s="35">
        <f t="shared" si="4"/>
      </c>
      <c r="P16" s="22">
        <f t="shared" si="9"/>
      </c>
      <c r="Q16" s="72">
        <f t="shared" si="5"/>
      </c>
    </row>
    <row r="17" spans="1:17" ht="11.25" customHeight="1">
      <c r="A17" s="20" t="s">
        <v>12</v>
      </c>
      <c r="B17" s="38">
        <v>550</v>
      </c>
      <c r="C17" s="31"/>
      <c r="D17" s="21">
        <f t="shared" si="6"/>
      </c>
      <c r="E17" s="71">
        <f t="shared" si="0"/>
      </c>
      <c r="F17" s="38">
        <v>190</v>
      </c>
      <c r="G17" s="31"/>
      <c r="H17" s="21">
        <f t="shared" si="7"/>
      </c>
      <c r="I17" s="71">
        <f t="shared" si="1"/>
      </c>
      <c r="J17" s="38">
        <v>1803</v>
      </c>
      <c r="K17" s="31"/>
      <c r="L17" s="21">
        <f t="shared" si="8"/>
      </c>
      <c r="M17" s="71">
        <f t="shared" si="2"/>
      </c>
      <c r="N17" s="38">
        <f t="shared" si="3"/>
        <v>2543</v>
      </c>
      <c r="O17" s="34">
        <f t="shared" si="4"/>
      </c>
      <c r="P17" s="21">
        <f t="shared" si="9"/>
      </c>
      <c r="Q17" s="71">
        <f t="shared" si="5"/>
      </c>
    </row>
    <row r="18" spans="1:17" ht="11.25" customHeight="1">
      <c r="A18" s="20" t="s">
        <v>13</v>
      </c>
      <c r="B18" s="38">
        <v>368</v>
      </c>
      <c r="C18" s="31"/>
      <c r="D18" s="21">
        <f t="shared" si="6"/>
      </c>
      <c r="E18" s="71">
        <f t="shared" si="0"/>
      </c>
      <c r="F18" s="38">
        <v>119</v>
      </c>
      <c r="G18" s="31"/>
      <c r="H18" s="21">
        <f t="shared" si="7"/>
      </c>
      <c r="I18" s="71">
        <f t="shared" si="1"/>
      </c>
      <c r="J18" s="38">
        <v>1118</v>
      </c>
      <c r="K18" s="31"/>
      <c r="L18" s="21">
        <f t="shared" si="8"/>
      </c>
      <c r="M18" s="71">
        <f t="shared" si="2"/>
      </c>
      <c r="N18" s="38">
        <f t="shared" si="3"/>
        <v>1605</v>
      </c>
      <c r="O18" s="34">
        <f t="shared" si="4"/>
      </c>
      <c r="P18" s="21">
        <f t="shared" si="9"/>
      </c>
      <c r="Q18" s="71">
        <f t="shared" si="5"/>
      </c>
    </row>
    <row r="19" spans="1:17" ht="11.25" customHeight="1">
      <c r="A19" s="27" t="s">
        <v>14</v>
      </c>
      <c r="B19" s="40">
        <v>601</v>
      </c>
      <c r="C19" s="32"/>
      <c r="D19" s="22">
        <f t="shared" si="6"/>
      </c>
      <c r="E19" s="72">
        <f t="shared" si="0"/>
      </c>
      <c r="F19" s="40">
        <v>168</v>
      </c>
      <c r="G19" s="32"/>
      <c r="H19" s="22">
        <f t="shared" si="7"/>
      </c>
      <c r="I19" s="72">
        <f t="shared" si="1"/>
      </c>
      <c r="J19" s="40">
        <v>1266</v>
      </c>
      <c r="K19" s="32"/>
      <c r="L19" s="22">
        <f t="shared" si="8"/>
      </c>
      <c r="M19" s="72">
        <f t="shared" si="2"/>
      </c>
      <c r="N19" s="40">
        <f t="shared" si="3"/>
        <v>2035</v>
      </c>
      <c r="O19" s="35">
        <f t="shared" si="4"/>
      </c>
      <c r="P19" s="22">
        <f t="shared" si="9"/>
      </c>
      <c r="Q19" s="72">
        <f t="shared" si="5"/>
      </c>
    </row>
    <row r="20" spans="1:17" ht="11.25" customHeight="1">
      <c r="A20" s="20" t="s">
        <v>15</v>
      </c>
      <c r="B20" s="38">
        <v>730</v>
      </c>
      <c r="C20" s="31"/>
      <c r="D20" s="21">
        <f t="shared" si="6"/>
      </c>
      <c r="E20" s="71">
        <f t="shared" si="0"/>
      </c>
      <c r="F20" s="38">
        <v>196</v>
      </c>
      <c r="G20" s="31"/>
      <c r="H20" s="21">
        <f t="shared" si="7"/>
      </c>
      <c r="I20" s="71">
        <f t="shared" si="1"/>
      </c>
      <c r="J20" s="38">
        <v>1395</v>
      </c>
      <c r="K20" s="31"/>
      <c r="L20" s="21">
        <f t="shared" si="8"/>
      </c>
      <c r="M20" s="71">
        <f t="shared" si="2"/>
      </c>
      <c r="N20" s="38">
        <f t="shared" si="3"/>
        <v>2321</v>
      </c>
      <c r="O20" s="34">
        <f t="shared" si="4"/>
      </c>
      <c r="P20" s="21">
        <f t="shared" si="9"/>
      </c>
      <c r="Q20" s="71">
        <f t="shared" si="5"/>
      </c>
    </row>
    <row r="21" spans="1:17" ht="11.25" customHeight="1">
      <c r="A21" s="20" t="s">
        <v>16</v>
      </c>
      <c r="B21" s="38">
        <v>613</v>
      </c>
      <c r="C21" s="31"/>
      <c r="D21" s="21">
        <f t="shared" si="6"/>
      </c>
      <c r="E21" s="71">
        <f t="shared" si="0"/>
      </c>
      <c r="F21" s="38">
        <v>172</v>
      </c>
      <c r="G21" s="31"/>
      <c r="H21" s="21">
        <f t="shared" si="7"/>
      </c>
      <c r="I21" s="71">
        <f t="shared" si="1"/>
      </c>
      <c r="J21" s="38">
        <v>979</v>
      </c>
      <c r="K21" s="31"/>
      <c r="L21" s="21">
        <f t="shared" si="8"/>
      </c>
      <c r="M21" s="71">
        <f t="shared" si="2"/>
      </c>
      <c r="N21" s="38">
        <f t="shared" si="3"/>
        <v>1764</v>
      </c>
      <c r="O21" s="34">
        <f t="shared" si="4"/>
      </c>
      <c r="P21" s="21">
        <f t="shared" si="9"/>
      </c>
      <c r="Q21" s="71">
        <f t="shared" si="5"/>
      </c>
    </row>
    <row r="22" spans="1:17" ht="11.25" customHeight="1" thickBot="1">
      <c r="A22" s="23" t="s">
        <v>17</v>
      </c>
      <c r="B22" s="39">
        <v>449</v>
      </c>
      <c r="C22" s="33"/>
      <c r="D22" s="21">
        <f t="shared" si="6"/>
      </c>
      <c r="E22" s="57">
        <f t="shared" si="0"/>
      </c>
      <c r="F22" s="39">
        <v>148</v>
      </c>
      <c r="G22" s="33"/>
      <c r="H22" s="21">
        <f t="shared" si="7"/>
      </c>
      <c r="I22" s="57">
        <f t="shared" si="1"/>
      </c>
      <c r="J22" s="39">
        <v>715</v>
      </c>
      <c r="K22" s="33"/>
      <c r="L22" s="21">
        <f t="shared" si="8"/>
      </c>
      <c r="M22" s="57">
        <f t="shared" si="2"/>
      </c>
      <c r="N22" s="39">
        <f t="shared" si="3"/>
        <v>1312</v>
      </c>
      <c r="O22" s="36">
        <f t="shared" si="4"/>
      </c>
      <c r="P22" s="21">
        <f t="shared" si="9"/>
      </c>
      <c r="Q22" s="57">
        <f t="shared" si="5"/>
      </c>
    </row>
    <row r="23" spans="1:17" ht="11.25" customHeight="1" thickBot="1">
      <c r="A23" s="44" t="s">
        <v>3</v>
      </c>
      <c r="B23" s="41">
        <f>IF(C17="",B24,B25)</f>
        <v>1646</v>
      </c>
      <c r="C23" s="42">
        <f>IF(C11="","",SUM(C11:C22))</f>
        <v>1625</v>
      </c>
      <c r="D23" s="43">
        <f>IF(C11="","",SUM(D11:D22))</f>
        <v>-21</v>
      </c>
      <c r="E23" s="64">
        <f>IF(OR(D23="",D23=0),"",D23/B23)</f>
        <v>-0.01275820170109356</v>
      </c>
      <c r="F23" s="41">
        <f>IF(G17="",F24,F25)</f>
        <v>545</v>
      </c>
      <c r="G23" s="42">
        <f>IF(G11="","",SUM(G11:G22))</f>
        <v>490</v>
      </c>
      <c r="H23" s="43">
        <f>IF(G11="","",SUM(H11:H22))</f>
        <v>-55</v>
      </c>
      <c r="I23" s="64">
        <f>IF(OR(H23="",H23=0),"",H23/F23)</f>
        <v>-0.10091743119266056</v>
      </c>
      <c r="J23" s="41">
        <f>IF(K17="",J24,J25)</f>
        <v>2715</v>
      </c>
      <c r="K23" s="42">
        <f>IF(K11="","",SUM(K11:K22))</f>
        <v>3076</v>
      </c>
      <c r="L23" s="43">
        <f>IF(K11="","",SUM(L11:L22))</f>
        <v>361</v>
      </c>
      <c r="M23" s="64">
        <f>IF(OR(L23="",L23=0),"",L23/J23)</f>
        <v>0.13296500920810314</v>
      </c>
      <c r="N23" s="41">
        <f>IF(O17="",N24,N25)</f>
        <v>4906</v>
      </c>
      <c r="O23" s="42">
        <f>IF(O11="","",SUM(O11:O22))</f>
        <v>5191</v>
      </c>
      <c r="P23" s="43">
        <f>IF(O11="","",SUM(P11:P22))</f>
        <v>285</v>
      </c>
      <c r="Q23" s="64">
        <f>IF(OR(P23="",P23=0),"",P23/N23)</f>
        <v>0.058092132083163474</v>
      </c>
    </row>
    <row r="24" spans="1:17" ht="11.25" customHeight="1">
      <c r="A24" s="89" t="s">
        <v>28</v>
      </c>
      <c r="B24" s="94">
        <f>IF(C16&lt;&gt;"",SUM(B11:B16),IF(C15&lt;&gt;"",SUM(B11:B15),IF(C14&lt;&gt;"",SUM(B11:B14),IF(C13&lt;&gt;"",SUM(B11:B13),IF(C12&lt;&gt;"",SUM(B11:B12),B11)))))</f>
        <v>1646</v>
      </c>
      <c r="C24" s="59">
        <f>COUNTIF(C11:C22,"&gt;0")</f>
        <v>3</v>
      </c>
      <c r="D24" s="59"/>
      <c r="E24" s="60"/>
      <c r="F24" s="94">
        <f>IF(G16&lt;&gt;"",SUM(F11:F16),IF(G15&lt;&gt;"",SUM(F11:F15),IF(G14&lt;&gt;"",SUM(F11:F14),IF(G13&lt;&gt;"",SUM(F11:F13),IF(G12&lt;&gt;"",SUM(F11:F12),F11)))))</f>
        <v>545</v>
      </c>
      <c r="G24" s="59">
        <f>COUNTIF(G11:G22,"&gt;0")</f>
        <v>3</v>
      </c>
      <c r="H24" s="59"/>
      <c r="I24" s="60"/>
      <c r="J24" s="94">
        <f>IF(K16&lt;&gt;"",SUM(J11:J16),IF(K15&lt;&gt;"",SUM(J11:J15),IF(K14&lt;&gt;"",SUM(J11:J14),IF(K13&lt;&gt;"",SUM(J11:J13),IF(K12&lt;&gt;"",SUM(J11:J12),J11)))))</f>
        <v>2715</v>
      </c>
      <c r="K24" s="59">
        <f>COUNTIF(K11:K22,"&gt;0")</f>
        <v>3</v>
      </c>
      <c r="L24" s="59"/>
      <c r="M24" s="60"/>
      <c r="N24" s="94">
        <f>IF(O16&lt;&gt;"",SUM(N11:N16),IF(O15&lt;&gt;"",SUM(N11:N15),IF(O14&lt;&gt;"",SUM(N11:N14),IF(O13&lt;&gt;"",SUM(N11:N13),IF(O12&lt;&gt;"",SUM(N11:N12),N11)))))</f>
        <v>4906</v>
      </c>
      <c r="O24" s="59">
        <f>COUNTIF(O11:O22,"&gt;0")</f>
        <v>3</v>
      </c>
      <c r="P24" s="59"/>
      <c r="Q24" s="60"/>
    </row>
    <row r="25" spans="2:14" ht="11.25" customHeight="1">
      <c r="B25" s="92">
        <f>IF(C22&lt;&gt;"",SUM(B11:B22),IF(C21&lt;&gt;"",SUM(B11:B21),IF(C20&lt;&gt;"",SUM(B11:B20),IF(C19&lt;&gt;"",SUM(B11:B19),IF(C18&lt;&gt;"",SUM(B11:B18),SUM(B11:B17))))))</f>
        <v>4058</v>
      </c>
      <c r="F25" s="92">
        <f>IF(G22&lt;&gt;"",SUM(F11:F22),IF(G21&lt;&gt;"",SUM(F11:F21),IF(G20&lt;&gt;"",SUM(F11:F20),IF(G19&lt;&gt;"",SUM(F11:F19),IF(G18&lt;&gt;"",SUM(F11:F18),SUM(F11:F17))))))</f>
        <v>1372</v>
      </c>
      <c r="J25" s="92">
        <f>IF(K22&lt;&gt;"",SUM(J11:J22),IF(K21&lt;&gt;"",SUM(J11:J21),IF(K20&lt;&gt;"",SUM(J11:J20),IF(K19&lt;&gt;"",SUM(J11:J19),IF(K18&lt;&gt;"",SUM(J11:J18),SUM(J11:J17))))))</f>
        <v>9358</v>
      </c>
      <c r="N25" s="92">
        <f>IF(O22&lt;&gt;"",SUM(N11:N22),IF(O21&lt;&gt;"",SUM(N11:N21),IF(O20&lt;&gt;"",SUM(N11:N20),IF(O19&lt;&gt;"",SUM(N11:N19),IF(O18&lt;&gt;"",SUM(N11:N18),SUM(N11:N17))))))</f>
        <v>14788</v>
      </c>
    </row>
    <row r="26" spans="1:6" ht="11.25" customHeight="1">
      <c r="A26" s="7"/>
      <c r="B26" s="121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 aca="true" t="shared" si="10" ref="B31:B42">IF(C11="","",B11/$R31)</f>
        <v>21</v>
      </c>
      <c r="C31" s="81">
        <f aca="true" t="shared" si="11" ref="C31:C42">IF(C11="","",C11/$S31)</f>
        <v>24.272727272727273</v>
      </c>
      <c r="D31" s="77">
        <f>IF(OR(C31="",B31=0),"",C31-B31)</f>
        <v>3.2727272727272734</v>
      </c>
      <c r="E31" s="73">
        <f>IF(D31="","",(C31-B31)/ABS(B31))</f>
        <v>0.15584415584415587</v>
      </c>
      <c r="F31" s="78">
        <f aca="true" t="shared" si="12" ref="F31:F42">IF(G11="","",F11/$R31)</f>
        <v>6.090909090909091</v>
      </c>
      <c r="G31" s="81">
        <f aca="true" t="shared" si="13" ref="G31:G42">IF(G11="","",G11/$S31)</f>
        <v>6.954545454545454</v>
      </c>
      <c r="H31" s="97">
        <f>IF(OR(G31="",F31=0),"",G31-F31)</f>
        <v>0.8636363636363633</v>
      </c>
      <c r="I31" s="73">
        <f>IF(H31="","",(G31-F31)/ABS(F31))</f>
        <v>0.14179104477611934</v>
      </c>
      <c r="J31" s="78">
        <f aca="true" t="shared" si="14" ref="J31:J42">IF(K11="","",J11/$R31)</f>
        <v>31.681818181818183</v>
      </c>
      <c r="K31" s="81">
        <f aca="true" t="shared" si="15" ref="K31:K42">IF(K11="","",K11/$S31)</f>
        <v>37.31818181818182</v>
      </c>
      <c r="L31" s="97">
        <f>IF(OR(K31="",J31=0),"",K31-J31)</f>
        <v>5.636363636363637</v>
      </c>
      <c r="M31" s="73">
        <f>IF(L31="","",(K31-J31)/ABS(J31))</f>
        <v>0.17790530846484937</v>
      </c>
      <c r="N31" s="78">
        <f aca="true" t="shared" si="16" ref="N31:N42">IF(O11="","",N11/$R31)</f>
        <v>58.77272727272727</v>
      </c>
      <c r="O31" s="81">
        <f aca="true" t="shared" si="17" ref="O31:O42">IF(O11="","",O11/$S31)</f>
        <v>68.54545454545455</v>
      </c>
      <c r="P31" s="97">
        <f>IF(OR(O31="",N31=0),"",O31-N31)</f>
        <v>9.772727272727273</v>
      </c>
      <c r="Q31" s="71">
        <f>IF(P31="","",(O31-N31)/ABS(N31))</f>
        <v>0.16627996906419182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25.19047619047619</v>
      </c>
      <c r="C32" s="81">
        <f t="shared" si="11"/>
        <v>24.75</v>
      </c>
      <c r="D32" s="77">
        <f aca="true" t="shared" si="18" ref="D32:D42">IF(OR(C32="",B32=0),"",C32-B32)</f>
        <v>-0.4404761904761898</v>
      </c>
      <c r="E32" s="73">
        <f aca="true" t="shared" si="19" ref="E32:E42">IF(D32="","",(C32-B32)/ABS(B32))</f>
        <v>-0.017485822306238158</v>
      </c>
      <c r="F32" s="78">
        <f t="shared" si="12"/>
        <v>8.904761904761905</v>
      </c>
      <c r="G32" s="81">
        <f t="shared" si="13"/>
        <v>7.9</v>
      </c>
      <c r="H32" s="97">
        <f aca="true" t="shared" si="20" ref="H32:H42">IF(OR(G32="",F32=0),"",G32-F32)</f>
        <v>-1.0047619047619047</v>
      </c>
      <c r="I32" s="73">
        <f aca="true" t="shared" si="21" ref="I32:I42">IF(H32="","",(G32-F32)/ABS(F32))</f>
        <v>-0.11283422459893047</v>
      </c>
      <c r="J32" s="78">
        <f t="shared" si="14"/>
        <v>46.523809523809526</v>
      </c>
      <c r="K32" s="81">
        <f t="shared" si="15"/>
        <v>48.75</v>
      </c>
      <c r="L32" s="97">
        <f aca="true" t="shared" si="22" ref="L32:L42">IF(OR(K32="",J32=0),"",K32-J32)</f>
        <v>2.2261904761904745</v>
      </c>
      <c r="M32" s="73">
        <f aca="true" t="shared" si="23" ref="M32:M42">IF(L32="","",(K32-J32)/ABS(J32))</f>
        <v>0.047850562947799345</v>
      </c>
      <c r="N32" s="78">
        <f t="shared" si="16"/>
        <v>80.61904761904762</v>
      </c>
      <c r="O32" s="81">
        <f t="shared" si="17"/>
        <v>81.4</v>
      </c>
      <c r="P32" s="97">
        <f aca="true" t="shared" si="24" ref="P32:P42">IF(OR(O32="",N32=0),"",O32-N32)</f>
        <v>0.7809523809523853</v>
      </c>
      <c r="Q32" s="71">
        <f aca="true" t="shared" si="25" ref="Q32:Q42">IF(P32="","",(O32-N32)/ABS(N32))</f>
        <v>0.009686946249261719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29.772727272727273</v>
      </c>
      <c r="C33" s="82">
        <f t="shared" si="11"/>
        <v>29.8</v>
      </c>
      <c r="D33" s="84">
        <f t="shared" si="18"/>
        <v>0.027272727272727337</v>
      </c>
      <c r="E33" s="74">
        <f t="shared" si="19"/>
        <v>0.0009160305343511472</v>
      </c>
      <c r="F33" s="79">
        <f t="shared" si="12"/>
        <v>10.181818181818182</v>
      </c>
      <c r="G33" s="82">
        <f t="shared" si="13"/>
        <v>8.95</v>
      </c>
      <c r="H33" s="98">
        <f t="shared" si="20"/>
        <v>-1.2318181818181824</v>
      </c>
      <c r="I33" s="74">
        <f t="shared" si="21"/>
        <v>-0.12098214285714291</v>
      </c>
      <c r="J33" s="79">
        <f t="shared" si="14"/>
        <v>47.31818181818182</v>
      </c>
      <c r="K33" s="82">
        <f t="shared" si="15"/>
        <v>64</v>
      </c>
      <c r="L33" s="98">
        <f t="shared" si="22"/>
        <v>16.68181818181818</v>
      </c>
      <c r="M33" s="74">
        <f t="shared" si="23"/>
        <v>0.35254562920268967</v>
      </c>
      <c r="N33" s="79">
        <f t="shared" si="16"/>
        <v>87.27272727272727</v>
      </c>
      <c r="O33" s="82">
        <f t="shared" si="17"/>
        <v>102.75</v>
      </c>
      <c r="P33" s="98">
        <f t="shared" si="24"/>
        <v>15.477272727272734</v>
      </c>
      <c r="Q33" s="72">
        <f t="shared" si="25"/>
        <v>0.17734375000000008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8"/>
      </c>
      <c r="E34" s="73">
        <f t="shared" si="19"/>
      </c>
      <c r="F34" s="78">
        <f t="shared" si="12"/>
      </c>
      <c r="G34" s="81">
        <f t="shared" si="13"/>
      </c>
      <c r="H34" s="97">
        <f t="shared" si="20"/>
      </c>
      <c r="I34" s="73">
        <f t="shared" si="21"/>
      </c>
      <c r="J34" s="78">
        <f t="shared" si="14"/>
      </c>
      <c r="K34" s="81">
        <f t="shared" si="15"/>
      </c>
      <c r="L34" s="97">
        <f t="shared" si="22"/>
      </c>
      <c r="M34" s="73">
        <f t="shared" si="23"/>
      </c>
      <c r="N34" s="78">
        <f t="shared" si="16"/>
      </c>
      <c r="O34" s="81">
        <f t="shared" si="17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8"/>
      </c>
      <c r="E35" s="73">
        <f t="shared" si="19"/>
      </c>
      <c r="F35" s="78">
        <f t="shared" si="12"/>
      </c>
      <c r="G35" s="81">
        <f t="shared" si="13"/>
      </c>
      <c r="H35" s="97">
        <f t="shared" si="20"/>
      </c>
      <c r="I35" s="73">
        <f t="shared" si="21"/>
      </c>
      <c r="J35" s="78">
        <f t="shared" si="14"/>
      </c>
      <c r="K35" s="81">
        <f t="shared" si="15"/>
      </c>
      <c r="L35" s="97">
        <f t="shared" si="22"/>
      </c>
      <c r="M35" s="73">
        <f t="shared" si="23"/>
      </c>
      <c r="N35" s="78">
        <f t="shared" si="16"/>
      </c>
      <c r="O35" s="81">
        <f t="shared" si="17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8"/>
      </c>
      <c r="E36" s="74">
        <f t="shared" si="19"/>
      </c>
      <c r="F36" s="79">
        <f t="shared" si="12"/>
      </c>
      <c r="G36" s="82">
        <f t="shared" si="13"/>
      </c>
      <c r="H36" s="98">
        <f t="shared" si="20"/>
      </c>
      <c r="I36" s="74">
        <f t="shared" si="21"/>
      </c>
      <c r="J36" s="79">
        <f t="shared" si="14"/>
      </c>
      <c r="K36" s="82">
        <f t="shared" si="15"/>
      </c>
      <c r="L36" s="98">
        <f t="shared" si="22"/>
      </c>
      <c r="M36" s="74">
        <f t="shared" si="23"/>
      </c>
      <c r="N36" s="79">
        <f t="shared" si="16"/>
      </c>
      <c r="O36" s="82">
        <f t="shared" si="17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8"/>
      </c>
      <c r="E37" s="73">
        <f t="shared" si="19"/>
      </c>
      <c r="F37" s="78">
        <f t="shared" si="12"/>
      </c>
      <c r="G37" s="81">
        <f t="shared" si="13"/>
      </c>
      <c r="H37" s="97">
        <f t="shared" si="20"/>
      </c>
      <c r="I37" s="73">
        <f t="shared" si="21"/>
      </c>
      <c r="J37" s="78">
        <f t="shared" si="14"/>
      </c>
      <c r="K37" s="81">
        <f t="shared" si="15"/>
      </c>
      <c r="L37" s="97">
        <f t="shared" si="22"/>
      </c>
      <c r="M37" s="73">
        <f t="shared" si="23"/>
      </c>
      <c r="N37" s="78">
        <f t="shared" si="16"/>
      </c>
      <c r="O37" s="81">
        <f t="shared" si="17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8"/>
      </c>
      <c r="E38" s="73">
        <f t="shared" si="19"/>
      </c>
      <c r="F38" s="78">
        <f t="shared" si="12"/>
      </c>
      <c r="G38" s="81">
        <f t="shared" si="13"/>
      </c>
      <c r="H38" s="97">
        <f t="shared" si="20"/>
      </c>
      <c r="I38" s="73">
        <f t="shared" si="21"/>
      </c>
      <c r="J38" s="78">
        <f t="shared" si="14"/>
      </c>
      <c r="K38" s="81">
        <f t="shared" si="15"/>
      </c>
      <c r="L38" s="97">
        <f t="shared" si="22"/>
      </c>
      <c r="M38" s="73">
        <f t="shared" si="23"/>
      </c>
      <c r="N38" s="78">
        <f t="shared" si="16"/>
      </c>
      <c r="O38" s="81">
        <f t="shared" si="17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8"/>
      </c>
      <c r="E39" s="74">
        <f t="shared" si="19"/>
      </c>
      <c r="F39" s="79">
        <f t="shared" si="12"/>
      </c>
      <c r="G39" s="82">
        <f t="shared" si="13"/>
      </c>
      <c r="H39" s="98">
        <f t="shared" si="20"/>
      </c>
      <c r="I39" s="74">
        <f t="shared" si="21"/>
      </c>
      <c r="J39" s="79">
        <f t="shared" si="14"/>
      </c>
      <c r="K39" s="82">
        <f t="shared" si="15"/>
      </c>
      <c r="L39" s="98">
        <f t="shared" si="22"/>
      </c>
      <c r="M39" s="74">
        <f t="shared" si="23"/>
      </c>
      <c r="N39" s="79">
        <f t="shared" si="16"/>
      </c>
      <c r="O39" s="82">
        <f t="shared" si="17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8"/>
      </c>
      <c r="E40" s="73">
        <f t="shared" si="19"/>
      </c>
      <c r="F40" s="78">
        <f t="shared" si="12"/>
      </c>
      <c r="G40" s="81">
        <f t="shared" si="13"/>
      </c>
      <c r="H40" s="97">
        <f t="shared" si="20"/>
      </c>
      <c r="I40" s="73">
        <f t="shared" si="21"/>
      </c>
      <c r="J40" s="78">
        <f t="shared" si="14"/>
      </c>
      <c r="K40" s="81">
        <f t="shared" si="15"/>
      </c>
      <c r="L40" s="97">
        <f t="shared" si="22"/>
      </c>
      <c r="M40" s="73">
        <f t="shared" si="23"/>
      </c>
      <c r="N40" s="78">
        <f t="shared" si="16"/>
      </c>
      <c r="O40" s="81">
        <f t="shared" si="17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8"/>
      </c>
      <c r="E41" s="73">
        <f t="shared" si="19"/>
      </c>
      <c r="F41" s="78">
        <f t="shared" si="12"/>
      </c>
      <c r="G41" s="81">
        <f t="shared" si="13"/>
      </c>
      <c r="H41" s="97">
        <f t="shared" si="20"/>
      </c>
      <c r="I41" s="73">
        <f t="shared" si="21"/>
      </c>
      <c r="J41" s="78">
        <f t="shared" si="14"/>
      </c>
      <c r="K41" s="81">
        <f t="shared" si="15"/>
      </c>
      <c r="L41" s="97">
        <f t="shared" si="22"/>
      </c>
      <c r="M41" s="73">
        <f t="shared" si="23"/>
      </c>
      <c r="N41" s="78">
        <f t="shared" si="16"/>
      </c>
      <c r="O41" s="81">
        <f t="shared" si="17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8"/>
      </c>
      <c r="E42" s="73">
        <f t="shared" si="19"/>
      </c>
      <c r="F42" s="78">
        <f t="shared" si="12"/>
      </c>
      <c r="G42" s="81">
        <f t="shared" si="13"/>
      </c>
      <c r="H42" s="97">
        <f t="shared" si="20"/>
      </c>
      <c r="I42" s="73">
        <f t="shared" si="21"/>
      </c>
      <c r="J42" s="78">
        <f t="shared" si="14"/>
      </c>
      <c r="K42" s="81">
        <f t="shared" si="15"/>
      </c>
      <c r="L42" s="97">
        <f t="shared" si="22"/>
      </c>
      <c r="M42" s="73">
        <f t="shared" si="23"/>
      </c>
      <c r="N42" s="78">
        <f t="shared" si="16"/>
      </c>
      <c r="O42" s="81">
        <f t="shared" si="17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IF(B23=0,"",SUM(B31:B42)/B44)</f>
        <v>25.321067821067818</v>
      </c>
      <c r="C43" s="83">
        <f>IF(OR(C23=0,C23=""),"",SUM(C31:C42)/C44)</f>
        <v>26.274242424242427</v>
      </c>
      <c r="D43" s="75">
        <f>IF(B23=0,"",AVERAGE(D31:D42))</f>
        <v>0.9531746031746037</v>
      </c>
      <c r="E43" s="65">
        <f>IF(B23=0,"",AVERAGE(E31:E42))</f>
        <v>0.04642478802408962</v>
      </c>
      <c r="F43" s="80">
        <f>IF(F23=0,"",SUM(F31:F42)/F44)</f>
        <v>8.392496392496392</v>
      </c>
      <c r="G43" s="83">
        <f>IF(OR(G23=0,G23=""),"",SUM(G31:G42)/G44)</f>
        <v>7.934848484848485</v>
      </c>
      <c r="H43" s="75">
        <f>IF(F23=0,"",AVERAGE(H31:H42))</f>
        <v>-0.4576479076479079</v>
      </c>
      <c r="I43" s="65">
        <f>IF(F23=0,"",AVERAGE(I31:I42))</f>
        <v>-0.03067510755998468</v>
      </c>
      <c r="J43" s="80">
        <f>IF(J23=0,"",SUM(J31:J42)/J44)</f>
        <v>41.84126984126984</v>
      </c>
      <c r="K43" s="83">
        <f>IF(OR(K23=0,K23=""),"",SUM(K31:K42)/K44)</f>
        <v>50.02272727272727</v>
      </c>
      <c r="L43" s="75">
        <f>IF(J23=0,"",AVERAGE(L31:L42))</f>
        <v>8.18145743145743</v>
      </c>
      <c r="M43" s="65">
        <f>IF(J23=0,"",AVERAGE(M31:M42))</f>
        <v>0.19276716687177944</v>
      </c>
      <c r="N43" s="80">
        <f>IF(N23=0,"",SUM(N31:N42)/N44)</f>
        <v>75.55483405483405</v>
      </c>
      <c r="O43" s="83">
        <f>IF(OR(O23=0,O23=""),"",SUM(O31:O42)/O44)</f>
        <v>84.23181818181818</v>
      </c>
      <c r="P43" s="75">
        <f>IF(N23=0,"",AVERAGE(P31:P42))</f>
        <v>8.67698412698413</v>
      </c>
      <c r="Q43" s="65">
        <f>IF(N23=0,"",AVERAGE(Q31:Q42))</f>
        <v>0.1177702217711512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>
        <f>COUNTIF(B31:B42,"&gt;0")</f>
        <v>3</v>
      </c>
      <c r="C44" s="61">
        <f>COUNTIF(C31:C42,"&gt;0")</f>
        <v>3</v>
      </c>
      <c r="D44" s="62"/>
      <c r="E44" s="63"/>
      <c r="F44" s="61">
        <f>COUNTIF(F31:F42,"&gt;0")</f>
        <v>3</v>
      </c>
      <c r="G44" s="61">
        <f>COUNTIF(G31:G42,"&gt;0")</f>
        <v>3</v>
      </c>
      <c r="H44" s="62"/>
      <c r="I44" s="63"/>
      <c r="J44" s="61">
        <f>COUNTIF(J31:J42,"&gt;0")</f>
        <v>3</v>
      </c>
      <c r="K44" s="61">
        <f>COUNTIF(K31:K42,"&gt;0")</f>
        <v>3</v>
      </c>
      <c r="L44" s="62"/>
      <c r="M44" s="63"/>
      <c r="N44" s="61">
        <f>COUNTIF(N31:N42,"&gt;0")</f>
        <v>3</v>
      </c>
      <c r="O44" s="61">
        <f>COUNTIF(O31:O42,"&gt;0")</f>
        <v>3</v>
      </c>
      <c r="P44" s="62"/>
      <c r="Q44" s="63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P29:Q29"/>
    <mergeCell ref="D9:E9"/>
    <mergeCell ref="H9:I9"/>
    <mergeCell ref="L9:M9"/>
    <mergeCell ref="P9:Q9"/>
    <mergeCell ref="N8:Q8"/>
    <mergeCell ref="B28:E28"/>
    <mergeCell ref="F28:I28"/>
    <mergeCell ref="B6:E7"/>
    <mergeCell ref="B26:E27"/>
    <mergeCell ref="J28:M28"/>
    <mergeCell ref="N28:Q28"/>
    <mergeCell ref="B2:E2"/>
    <mergeCell ref="B3:C3"/>
    <mergeCell ref="D3:E3"/>
    <mergeCell ref="R30:S30"/>
    <mergeCell ref="B8:E8"/>
    <mergeCell ref="D29:E29"/>
    <mergeCell ref="H29:I29"/>
    <mergeCell ref="L29:M29"/>
    <mergeCell ref="F8:I8"/>
    <mergeCell ref="J8:M8"/>
  </mergeCells>
  <conditionalFormatting sqref="F12:F22 J12:J22 N12:N22 B12:B22">
    <cfRule type="expression" priority="3" dxfId="2" stopIfTrue="1">
      <formula>C12=""</formula>
    </cfRule>
  </conditionalFormatting>
  <conditionalFormatting sqref="R43:S43 S31:S42">
    <cfRule type="expression" priority="4" dxfId="1" stopIfTrue="1">
      <formula>R31&lt;$R31</formula>
    </cfRule>
    <cfRule type="expression" priority="5" dxfId="0" stopIfTrue="1">
      <formula>R31&gt;$R31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6" t="s">
        <v>21</v>
      </c>
      <c r="C2" s="126"/>
      <c r="D2" s="126"/>
      <c r="E2" s="126"/>
      <c r="O2" s="5"/>
      <c r="P2" s="5"/>
      <c r="Q2" s="96"/>
    </row>
    <row r="3" spans="1:17" ht="13.5" customHeight="1">
      <c r="A3" s="1"/>
      <c r="B3" s="127" t="s">
        <v>20</v>
      </c>
      <c r="C3" s="127"/>
      <c r="D3" s="128" t="s">
        <v>19</v>
      </c>
      <c r="E3" s="128"/>
      <c r="O3" s="5"/>
      <c r="P3" s="5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11048</v>
      </c>
      <c r="C11" s="31">
        <v>12085</v>
      </c>
      <c r="D11" s="21">
        <f aca="true" t="shared" si="0" ref="D11:D22">IF(C11="","",C11-B11)</f>
        <v>1037</v>
      </c>
      <c r="E11" s="71">
        <f aca="true" t="shared" si="1" ref="E11:E23">IF(D11="","",D11/B11)</f>
        <v>0.09386314265025344</v>
      </c>
      <c r="F11" s="38">
        <v>16359</v>
      </c>
      <c r="G11" s="31">
        <v>17254</v>
      </c>
      <c r="H11" s="21">
        <f aca="true" t="shared" si="2" ref="H11:H22">IF(G11="","",G11-F11)</f>
        <v>895</v>
      </c>
      <c r="I11" s="71">
        <f aca="true" t="shared" si="3" ref="I11:I23">IF(H11="","",H11/F11)</f>
        <v>0.05470994559569656</v>
      </c>
      <c r="J11" s="38">
        <v>2624</v>
      </c>
      <c r="K11" s="31">
        <v>2249</v>
      </c>
      <c r="L11" s="21">
        <f aca="true" t="shared" si="4" ref="L11:L22">IF(K11="","",K11-J11)</f>
        <v>-375</v>
      </c>
      <c r="M11" s="71">
        <f aca="true" t="shared" si="5" ref="M11:M23">IF(L11="","",L11/J11)</f>
        <v>-0.14291158536585366</v>
      </c>
      <c r="N11" s="38">
        <f>SUM(B11,F11,J11)</f>
        <v>30031</v>
      </c>
      <c r="O11" s="34">
        <f aca="true" t="shared" si="6" ref="O11:O22">IF(C11="","",SUM(C11,G11,K11))</f>
        <v>31588</v>
      </c>
      <c r="P11" s="21">
        <f aca="true" t="shared" si="7" ref="P11:P22">IF(O11="","",O11-N11)</f>
        <v>1557</v>
      </c>
      <c r="Q11" s="71">
        <f aca="true" t="shared" si="8" ref="Q11:Q23">IF(P11="","",P11/N11)</f>
        <v>0.05184642536046086</v>
      </c>
    </row>
    <row r="12" spans="1:17" ht="11.25" customHeight="1">
      <c r="A12" s="20" t="s">
        <v>7</v>
      </c>
      <c r="B12" s="38">
        <v>11289</v>
      </c>
      <c r="C12" s="31">
        <v>11627</v>
      </c>
      <c r="D12" s="21">
        <f t="shared" si="0"/>
        <v>338</v>
      </c>
      <c r="E12" s="71">
        <f t="shared" si="1"/>
        <v>0.02994065019045088</v>
      </c>
      <c r="F12" s="38">
        <v>18479</v>
      </c>
      <c r="G12" s="31">
        <v>15814</v>
      </c>
      <c r="H12" s="21">
        <f t="shared" si="2"/>
        <v>-2665</v>
      </c>
      <c r="I12" s="71">
        <f t="shared" si="3"/>
        <v>-0.14421776070133666</v>
      </c>
      <c r="J12" s="38">
        <v>2763</v>
      </c>
      <c r="K12" s="31">
        <v>2054</v>
      </c>
      <c r="L12" s="21">
        <f t="shared" si="4"/>
        <v>-709</v>
      </c>
      <c r="M12" s="71">
        <f t="shared" si="5"/>
        <v>-0.2566051393412957</v>
      </c>
      <c r="N12" s="38">
        <f aca="true" t="shared" si="9" ref="N12:N22">SUM(B12,F12,J12)</f>
        <v>32531</v>
      </c>
      <c r="O12" s="34">
        <f t="shared" si="6"/>
        <v>29495</v>
      </c>
      <c r="P12" s="21">
        <f t="shared" si="7"/>
        <v>-3036</v>
      </c>
      <c r="Q12" s="71">
        <f t="shared" si="8"/>
        <v>-0.09332636562048507</v>
      </c>
    </row>
    <row r="13" spans="1:17" ht="11.25" customHeight="1">
      <c r="A13" s="27" t="s">
        <v>8</v>
      </c>
      <c r="B13" s="40">
        <v>12915</v>
      </c>
      <c r="C13" s="32">
        <v>12371</v>
      </c>
      <c r="D13" s="22">
        <f t="shared" si="0"/>
        <v>-544</v>
      </c>
      <c r="E13" s="72">
        <f t="shared" si="1"/>
        <v>-0.042121564072783585</v>
      </c>
      <c r="F13" s="40">
        <v>20522</v>
      </c>
      <c r="G13" s="32">
        <v>16589</v>
      </c>
      <c r="H13" s="22">
        <f t="shared" si="2"/>
        <v>-3933</v>
      </c>
      <c r="I13" s="72">
        <f t="shared" si="3"/>
        <v>-0.1916479875255823</v>
      </c>
      <c r="J13" s="40">
        <v>2944</v>
      </c>
      <c r="K13" s="32">
        <v>2053</v>
      </c>
      <c r="L13" s="22">
        <f t="shared" si="4"/>
        <v>-891</v>
      </c>
      <c r="M13" s="72">
        <f t="shared" si="5"/>
        <v>-0.30264945652173914</v>
      </c>
      <c r="N13" s="40">
        <f t="shared" si="9"/>
        <v>36381</v>
      </c>
      <c r="O13" s="35">
        <f t="shared" si="6"/>
        <v>31013</v>
      </c>
      <c r="P13" s="22">
        <f t="shared" si="7"/>
        <v>-5368</v>
      </c>
      <c r="Q13" s="72">
        <f t="shared" si="8"/>
        <v>-0.14754954509221846</v>
      </c>
    </row>
    <row r="14" spans="1:17" ht="11.25" customHeight="1">
      <c r="A14" s="20" t="s">
        <v>9</v>
      </c>
      <c r="B14" s="38">
        <v>11726</v>
      </c>
      <c r="C14" s="31"/>
      <c r="D14" s="21">
        <f t="shared" si="0"/>
      </c>
      <c r="E14" s="71">
        <f t="shared" si="1"/>
      </c>
      <c r="F14" s="38">
        <v>15654</v>
      </c>
      <c r="G14" s="31"/>
      <c r="H14" s="21">
        <f t="shared" si="2"/>
      </c>
      <c r="I14" s="71">
        <f t="shared" si="3"/>
      </c>
      <c r="J14" s="38">
        <v>2259</v>
      </c>
      <c r="K14" s="31"/>
      <c r="L14" s="21">
        <f t="shared" si="4"/>
      </c>
      <c r="M14" s="71">
        <f t="shared" si="5"/>
      </c>
      <c r="N14" s="38">
        <f t="shared" si="9"/>
        <v>29639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v>11747</v>
      </c>
      <c r="C15" s="31"/>
      <c r="D15" s="21">
        <f t="shared" si="0"/>
      </c>
      <c r="E15" s="71">
        <f t="shared" si="1"/>
      </c>
      <c r="F15" s="38">
        <v>16830</v>
      </c>
      <c r="G15" s="31"/>
      <c r="H15" s="21">
        <f t="shared" si="2"/>
      </c>
      <c r="I15" s="71">
        <f t="shared" si="3"/>
      </c>
      <c r="J15" s="38">
        <v>2436</v>
      </c>
      <c r="K15" s="31"/>
      <c r="L15" s="21">
        <f t="shared" si="4"/>
      </c>
      <c r="M15" s="71">
        <f t="shared" si="5"/>
      </c>
      <c r="N15" s="38">
        <f t="shared" si="9"/>
        <v>31013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7" t="s">
        <v>11</v>
      </c>
      <c r="B16" s="40">
        <v>12589</v>
      </c>
      <c r="C16" s="32"/>
      <c r="D16" s="22">
        <f t="shared" si="0"/>
      </c>
      <c r="E16" s="72">
        <f t="shared" si="1"/>
      </c>
      <c r="F16" s="40">
        <v>18956</v>
      </c>
      <c r="G16" s="32"/>
      <c r="H16" s="22">
        <f t="shared" si="2"/>
      </c>
      <c r="I16" s="72">
        <f t="shared" si="3"/>
      </c>
      <c r="J16" s="40">
        <v>2397</v>
      </c>
      <c r="K16" s="32"/>
      <c r="L16" s="22">
        <f t="shared" si="4"/>
      </c>
      <c r="M16" s="72">
        <f t="shared" si="5"/>
      </c>
      <c r="N16" s="40">
        <f t="shared" si="9"/>
        <v>33942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v>11709</v>
      </c>
      <c r="C17" s="31"/>
      <c r="D17" s="21">
        <f t="shared" si="0"/>
      </c>
      <c r="E17" s="71">
        <f t="shared" si="1"/>
      </c>
      <c r="F17" s="38">
        <v>16546</v>
      </c>
      <c r="G17" s="31"/>
      <c r="H17" s="21">
        <f t="shared" si="2"/>
      </c>
      <c r="I17" s="71">
        <f t="shared" si="3"/>
      </c>
      <c r="J17" s="38">
        <v>2516</v>
      </c>
      <c r="K17" s="31"/>
      <c r="L17" s="21">
        <f t="shared" si="4"/>
      </c>
      <c r="M17" s="71">
        <f t="shared" si="5"/>
      </c>
      <c r="N17" s="38">
        <f t="shared" si="9"/>
        <v>30771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v>10041</v>
      </c>
      <c r="C18" s="31"/>
      <c r="D18" s="21">
        <f t="shared" si="0"/>
      </c>
      <c r="E18" s="71">
        <f t="shared" si="1"/>
      </c>
      <c r="F18" s="38">
        <v>13266</v>
      </c>
      <c r="G18" s="31"/>
      <c r="H18" s="21">
        <f t="shared" si="2"/>
      </c>
      <c r="I18" s="71">
        <f t="shared" si="3"/>
      </c>
      <c r="J18" s="38">
        <v>2508</v>
      </c>
      <c r="K18" s="31"/>
      <c r="L18" s="21">
        <f t="shared" si="4"/>
      </c>
      <c r="M18" s="71">
        <f t="shared" si="5"/>
      </c>
      <c r="N18" s="38">
        <f t="shared" si="9"/>
        <v>25815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7" t="s">
        <v>14</v>
      </c>
      <c r="B19" s="40">
        <v>11161</v>
      </c>
      <c r="C19" s="32"/>
      <c r="D19" s="22">
        <f t="shared" si="0"/>
      </c>
      <c r="E19" s="72">
        <f t="shared" si="1"/>
      </c>
      <c r="F19" s="40">
        <v>16851</v>
      </c>
      <c r="G19" s="32"/>
      <c r="H19" s="22">
        <f t="shared" si="2"/>
      </c>
      <c r="I19" s="72">
        <f t="shared" si="3"/>
      </c>
      <c r="J19" s="40">
        <v>2199</v>
      </c>
      <c r="K19" s="32"/>
      <c r="L19" s="22">
        <f t="shared" si="4"/>
      </c>
      <c r="M19" s="72">
        <f t="shared" si="5"/>
      </c>
      <c r="N19" s="40">
        <f t="shared" si="9"/>
        <v>30211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v>13419</v>
      </c>
      <c r="C20" s="31"/>
      <c r="D20" s="21">
        <f t="shared" si="0"/>
      </c>
      <c r="E20" s="71">
        <f t="shared" si="1"/>
      </c>
      <c r="F20" s="38">
        <v>18594</v>
      </c>
      <c r="G20" s="31"/>
      <c r="H20" s="21">
        <f t="shared" si="2"/>
      </c>
      <c r="I20" s="71">
        <f t="shared" si="3"/>
      </c>
      <c r="J20" s="38">
        <v>2611</v>
      </c>
      <c r="K20" s="31"/>
      <c r="L20" s="21">
        <f t="shared" si="4"/>
      </c>
      <c r="M20" s="71">
        <f t="shared" si="5"/>
      </c>
      <c r="N20" s="38">
        <f t="shared" si="9"/>
        <v>34624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v>12100</v>
      </c>
      <c r="C21" s="31"/>
      <c r="D21" s="21">
        <f t="shared" si="0"/>
      </c>
      <c r="E21" s="71">
        <f t="shared" si="1"/>
      </c>
      <c r="F21" s="38">
        <v>17883</v>
      </c>
      <c r="G21" s="31"/>
      <c r="H21" s="21">
        <f t="shared" si="2"/>
      </c>
      <c r="I21" s="71">
        <f t="shared" si="3"/>
      </c>
      <c r="J21" s="38">
        <v>2416</v>
      </c>
      <c r="K21" s="31"/>
      <c r="L21" s="21">
        <f t="shared" si="4"/>
      </c>
      <c r="M21" s="71">
        <f t="shared" si="5"/>
      </c>
      <c r="N21" s="38">
        <f t="shared" si="9"/>
        <v>32399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v>9437</v>
      </c>
      <c r="C22" s="33"/>
      <c r="D22" s="21">
        <f t="shared" si="0"/>
      </c>
      <c r="E22" s="57">
        <f t="shared" si="1"/>
      </c>
      <c r="F22" s="39">
        <v>14738</v>
      </c>
      <c r="G22" s="33"/>
      <c r="H22" s="21">
        <f t="shared" si="2"/>
      </c>
      <c r="I22" s="57">
        <f t="shared" si="3"/>
      </c>
      <c r="J22" s="39">
        <v>2121</v>
      </c>
      <c r="K22" s="33"/>
      <c r="L22" s="21">
        <f t="shared" si="4"/>
      </c>
      <c r="M22" s="57">
        <f t="shared" si="5"/>
      </c>
      <c r="N22" s="39">
        <f t="shared" si="9"/>
        <v>26296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35252</v>
      </c>
      <c r="C23" s="42">
        <f>IF(C11="","",SUM(C11:C22))</f>
        <v>36083</v>
      </c>
      <c r="D23" s="43">
        <f>IF(D11="","",SUM(D11:D22))</f>
        <v>831</v>
      </c>
      <c r="E23" s="64">
        <f t="shared" si="1"/>
        <v>0.023573130602519005</v>
      </c>
      <c r="F23" s="41">
        <f>IF(G24&lt;7,F24,F25)</f>
        <v>55360</v>
      </c>
      <c r="G23" s="42">
        <f>IF(G11="","",SUM(G11:G22))</f>
        <v>49657</v>
      </c>
      <c r="H23" s="43">
        <f>IF(H11="","",SUM(H11:H22))</f>
        <v>-5703</v>
      </c>
      <c r="I23" s="64">
        <f t="shared" si="3"/>
        <v>-0.10301661849710983</v>
      </c>
      <c r="J23" s="41">
        <f>IF(K24&lt;7,J24,J25)</f>
        <v>8331</v>
      </c>
      <c r="K23" s="42">
        <f>IF(K11="","",SUM(K11:K22))</f>
        <v>6356</v>
      </c>
      <c r="L23" s="43">
        <f>IF(L11="","",SUM(L11:L22))</f>
        <v>-1975</v>
      </c>
      <c r="M23" s="64">
        <f t="shared" si="5"/>
        <v>-0.23706637858600407</v>
      </c>
      <c r="N23" s="41">
        <f>IF(O24&lt;7,N24,N25)</f>
        <v>98943</v>
      </c>
      <c r="O23" s="42">
        <f>IF(O11="","",SUM(O11:O22))</f>
        <v>92096</v>
      </c>
      <c r="P23" s="43">
        <f>IF(P11="","",SUM(P11:P22))</f>
        <v>-6847</v>
      </c>
      <c r="Q23" s="64">
        <f t="shared" si="8"/>
        <v>-0.06920145942613425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35252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55360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8331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98943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139181</v>
      </c>
      <c r="F25" s="92">
        <f>IF(G24=7,SUM(F11:F17),IF(G24=8,SUM(F11:F18),IF(G24=9,SUM(F11:F19),IF(G24=10,SUM(F11:F20),IF(G24=11,SUM(F11:F21),SUM(F11:F22))))))</f>
        <v>204678</v>
      </c>
      <c r="J25" s="92">
        <f>IF(K24=7,SUM(J11:J17),IF(K24=8,SUM(J11:J18),IF(K24=9,SUM(J11:J19),IF(K24=10,SUM(J11:J20),IF(K24=11,SUM(J11:J21),SUM(J11:J22))))))</f>
        <v>29794</v>
      </c>
      <c r="N25" s="92">
        <f>IF(O24=7,SUM(N11:N17),IF(O24=8,SUM(N11:N18),IF(O24=9,SUM(N11:N19),IF(O24=10,SUM(N11:N20),IF(O24=11,SUM(N11:N21),SUM(N11:N22))))))</f>
        <v>373653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8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20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  <c r="T29" s="54"/>
    </row>
    <row r="30" spans="1:20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05" t="s">
        <v>23</v>
      </c>
      <c r="S30" s="106"/>
      <c r="T30" s="55"/>
    </row>
    <row r="31" spans="1:21" ht="11.25" customHeight="1">
      <c r="A31" s="20" t="s">
        <v>6</v>
      </c>
      <c r="B31" s="78">
        <f>IF(C11="","",B11/$R31)</f>
        <v>502.1818181818182</v>
      </c>
      <c r="C31" s="81">
        <f>IF(C11="","",C11/$S31)</f>
        <v>549.3181818181819</v>
      </c>
      <c r="D31" s="77">
        <f>IF(C31="","",C31-B31)</f>
        <v>47.13636363636368</v>
      </c>
      <c r="E31" s="73">
        <f>IF(C31="","",(C31-B31)/ABS(B31))</f>
        <v>0.09386314265025353</v>
      </c>
      <c r="F31" s="78">
        <f>IF(G11="","",F11/$R31)</f>
        <v>743.5909090909091</v>
      </c>
      <c r="G31" s="81">
        <f>IF(G11="","",G11/$S31)</f>
        <v>784.2727272727273</v>
      </c>
      <c r="H31" s="97">
        <f>IF(G31="","",G31-F31)</f>
        <v>40.68181818181813</v>
      </c>
      <c r="I31" s="73">
        <f>IF(G31="","",(G31-F31)/ABS(F31))</f>
        <v>0.05470994559569649</v>
      </c>
      <c r="J31" s="78">
        <f>IF(K11="","",J11/$R31)</f>
        <v>119.27272727272727</v>
      </c>
      <c r="K31" s="81">
        <f>IF(K11="","",K11/$S31)</f>
        <v>102.22727272727273</v>
      </c>
      <c r="L31" s="97">
        <f>IF(K31="","",K31-J31)</f>
        <v>-17.045454545454533</v>
      </c>
      <c r="M31" s="73">
        <f>IF(K31="","",(K31-J31)/ABS(J31))</f>
        <v>-0.14291158536585355</v>
      </c>
      <c r="N31" s="78">
        <f>IF(O11="","",N11/$R31)</f>
        <v>1365.0454545454545</v>
      </c>
      <c r="O31" s="81">
        <f>IF(O11="","",O11/$S31)</f>
        <v>1435.8181818181818</v>
      </c>
      <c r="P31" s="97">
        <f>IF(O31="","",O31-N31)</f>
        <v>70.77272727272725</v>
      </c>
      <c r="Q31" s="71">
        <f>IF(O31="","",(O31-N31)/ABS(N31))</f>
        <v>0.05184642536046084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aca="true" t="shared" si="10" ref="B32:B42">IF(C12="","",B12/$R32)</f>
        <v>537.5714285714286</v>
      </c>
      <c r="C32" s="81">
        <f aca="true" t="shared" si="11" ref="C32:C42">IF(C12="","",C12/$S32)</f>
        <v>581.35</v>
      </c>
      <c r="D32" s="77">
        <f aca="true" t="shared" si="12" ref="D32:D42">IF(C32="","",C32-B32)</f>
        <v>43.77857142857147</v>
      </c>
      <c r="E32" s="73">
        <f aca="true" t="shared" si="13" ref="E32:E43">IF(C32="","",(C32-B32)/ABS(B32))</f>
        <v>0.08143768269997351</v>
      </c>
      <c r="F32" s="78">
        <f aca="true" t="shared" si="14" ref="F32:F42">IF(G12="","",F12/$R32)</f>
        <v>879.952380952381</v>
      </c>
      <c r="G32" s="81">
        <f aca="true" t="shared" si="15" ref="G32:G42">IF(G12="","",G12/$S32)</f>
        <v>790.7</v>
      </c>
      <c r="H32" s="97">
        <f aca="true" t="shared" si="16" ref="H32:H42">IF(G32="","",G32-F32)</f>
        <v>-89.25238095238092</v>
      </c>
      <c r="I32" s="73">
        <f aca="true" t="shared" si="17" ref="I32:I43">IF(G32="","",(G32-F32)/ABS(F32))</f>
        <v>-0.10142864873640345</v>
      </c>
      <c r="J32" s="78">
        <f aca="true" t="shared" si="18" ref="J32:J42">IF(K12="","",J12/$R32)</f>
        <v>131.57142857142858</v>
      </c>
      <c r="K32" s="81">
        <f aca="true" t="shared" si="19" ref="K32:K42">IF(K12="","",K12/$S32)</f>
        <v>102.7</v>
      </c>
      <c r="L32" s="97">
        <f aca="true" t="shared" si="20" ref="L32:L42">IF(K32="","",K32-J32)</f>
        <v>-28.87142857142858</v>
      </c>
      <c r="M32" s="73">
        <f aca="true" t="shared" si="21" ref="M32:M43">IF(K32="","",(K32-J32)/ABS(J32))</f>
        <v>-0.21943539630836054</v>
      </c>
      <c r="N32" s="78">
        <f aca="true" t="shared" si="22" ref="N32:N42">IF(O12="","",N12/$R32)</f>
        <v>1549.095238095238</v>
      </c>
      <c r="O32" s="81">
        <f aca="true" t="shared" si="23" ref="O32:O42">IF(O12="","",O12/$S32)</f>
        <v>1474.75</v>
      </c>
      <c r="P32" s="97">
        <f aca="true" t="shared" si="24" ref="P32:P42">IF(O32="","",O32-N32)</f>
        <v>-74.34523809523807</v>
      </c>
      <c r="Q32" s="71">
        <f aca="true" t="shared" si="25" ref="Q32:Q43">IF(O32="","",(O32-N32)/ABS(N32))</f>
        <v>-0.04799268390150931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587.0454545454545</v>
      </c>
      <c r="C33" s="82">
        <f t="shared" si="11"/>
        <v>618.55</v>
      </c>
      <c r="D33" s="84">
        <f t="shared" si="12"/>
        <v>31.50454545454545</v>
      </c>
      <c r="E33" s="74">
        <f t="shared" si="13"/>
        <v>0.053666279519938055</v>
      </c>
      <c r="F33" s="79">
        <f t="shared" si="14"/>
        <v>932.8181818181819</v>
      </c>
      <c r="G33" s="82">
        <f t="shared" si="15"/>
        <v>829.45</v>
      </c>
      <c r="H33" s="98">
        <f t="shared" si="16"/>
        <v>-103.36818181818182</v>
      </c>
      <c r="I33" s="74">
        <f t="shared" si="17"/>
        <v>-0.11081278627814053</v>
      </c>
      <c r="J33" s="79">
        <f t="shared" si="18"/>
        <v>133.8181818181818</v>
      </c>
      <c r="K33" s="82">
        <f t="shared" si="19"/>
        <v>102.65</v>
      </c>
      <c r="L33" s="98">
        <f t="shared" si="20"/>
        <v>-31.168181818181807</v>
      </c>
      <c r="M33" s="74">
        <f t="shared" si="21"/>
        <v>-0.23291440217391296</v>
      </c>
      <c r="N33" s="79">
        <f t="shared" si="22"/>
        <v>1653.6818181818182</v>
      </c>
      <c r="O33" s="82">
        <f t="shared" si="23"/>
        <v>1550.65</v>
      </c>
      <c r="P33" s="98">
        <f t="shared" si="24"/>
        <v>-103.03181818181815</v>
      </c>
      <c r="Q33" s="72">
        <f t="shared" si="25"/>
        <v>-0.06230449960144029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AVERAGE(B31:B42)</f>
        <v>542.2662337662338</v>
      </c>
      <c r="C43" s="83">
        <f>IF(C11="","",AVERAGE(C31:C42))</f>
        <v>583.0727272727273</v>
      </c>
      <c r="D43" s="75">
        <f>IF(D31="","",AVERAGE(D31:D42))</f>
        <v>40.80649350649353</v>
      </c>
      <c r="E43" s="65">
        <f t="shared" si="13"/>
        <v>0.07525176927037813</v>
      </c>
      <c r="F43" s="80">
        <f>AVERAGE(F31:F42)</f>
        <v>852.1204906204907</v>
      </c>
      <c r="G43" s="83">
        <f>IF(G11="","",AVERAGE(G31:G42))</f>
        <v>801.4742424242426</v>
      </c>
      <c r="H43" s="99">
        <f>IF(H31="","",AVERAGE(H31:H42))</f>
        <v>-50.6462481962482</v>
      </c>
      <c r="I43" s="65">
        <f t="shared" si="17"/>
        <v>-0.05943554785235708</v>
      </c>
      <c r="J43" s="80">
        <f>AVERAGE(J31:J42)</f>
        <v>128.22077922077924</v>
      </c>
      <c r="K43" s="83">
        <f>IF(K11="","",AVERAGE(K31:K42))</f>
        <v>102.5257575757576</v>
      </c>
      <c r="L43" s="99">
        <f>IF(L31="","",AVERAGE(L31:L42))</f>
        <v>-25.69502164502164</v>
      </c>
      <c r="M43" s="65">
        <f t="shared" si="21"/>
        <v>-0.20039670481785335</v>
      </c>
      <c r="N43" s="80">
        <f>AVERAGE(N31:N42)</f>
        <v>1522.6075036075035</v>
      </c>
      <c r="O43" s="83">
        <f>IF(O11="","",AVERAGE(O31:O42))</f>
        <v>1487.0727272727272</v>
      </c>
      <c r="P43" s="99">
        <f>IF(P31="","",AVERAGE(P31:P42))</f>
        <v>-35.534776334776325</v>
      </c>
      <c r="Q43" s="66">
        <f t="shared" si="25"/>
        <v>-0.023338106669370813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 s="76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R30:S30"/>
    <mergeCell ref="B8:E8"/>
    <mergeCell ref="D29:E29"/>
    <mergeCell ref="H29:I29"/>
    <mergeCell ref="L29:M29"/>
    <mergeCell ref="P29:Q29"/>
    <mergeCell ref="P9:Q9"/>
    <mergeCell ref="H9:I9"/>
    <mergeCell ref="J28:M28"/>
    <mergeCell ref="F8:I8"/>
    <mergeCell ref="B6:E7"/>
    <mergeCell ref="D9:E9"/>
    <mergeCell ref="B2:E2"/>
    <mergeCell ref="B3:C3"/>
    <mergeCell ref="D3:E3"/>
    <mergeCell ref="B28:E28"/>
    <mergeCell ref="B26:E27"/>
    <mergeCell ref="N8:Q8"/>
    <mergeCell ref="F28:I28"/>
    <mergeCell ref="J8:M8"/>
    <mergeCell ref="N28:Q28"/>
    <mergeCell ref="L9:M9"/>
  </mergeCells>
  <conditionalFormatting sqref="J13:J22 B13:B16 F13:F22 N13:N22 B18:B21">
    <cfRule type="expression" priority="3" dxfId="2" stopIfTrue="1">
      <formula>C13=""</formula>
    </cfRule>
  </conditionalFormatting>
  <conditionalFormatting sqref="B17 B22 F12 J12 N12">
    <cfRule type="expression" priority="4" dxfId="2" stopIfTrue="1">
      <formula>C12=""</formula>
    </cfRule>
  </conditionalFormatting>
  <conditionalFormatting sqref="R43:S43 S31:S42">
    <cfRule type="expression" priority="5" dxfId="1" stopIfTrue="1">
      <formula>R31&lt;$R31</formula>
    </cfRule>
    <cfRule type="expression" priority="6" dxfId="0" stopIfTrue="1">
      <formula>R31&gt;$R31</formula>
    </cfRule>
  </conditionalFormatting>
  <conditionalFormatting sqref="B12">
    <cfRule type="expression" priority="7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9" t="s">
        <v>21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0" t="s">
        <v>25</v>
      </c>
      <c r="E3" s="130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3"/>
      <c r="C5" s="53"/>
      <c r="D5" s="53"/>
      <c r="E5" s="5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33"/>
      <c r="D6" s="133"/>
      <c r="E6" s="133"/>
      <c r="F6" s="9" t="s">
        <v>32</v>
      </c>
    </row>
    <row r="7" spans="2:6" ht="11.25" customHeight="1" thickBot="1">
      <c r="B7" s="134"/>
      <c r="C7" s="134"/>
      <c r="D7" s="134"/>
      <c r="E7" s="134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3704</v>
      </c>
      <c r="C11" s="47">
        <v>3250</v>
      </c>
      <c r="D11" s="21">
        <f aca="true" t="shared" si="0" ref="D11:D22">IF(C11="","",C11-B11)</f>
        <v>-454</v>
      </c>
      <c r="E11" s="71">
        <f aca="true" t="shared" si="1" ref="E11:E23">IF(D11="","",D11/B11)</f>
        <v>-0.12257019438444924</v>
      </c>
      <c r="F11" s="38">
        <v>15080</v>
      </c>
      <c r="G11" s="47">
        <v>16751</v>
      </c>
      <c r="H11" s="21">
        <f aca="true" t="shared" si="2" ref="H11:H22">IF(G11="","",G11-F11)</f>
        <v>1671</v>
      </c>
      <c r="I11" s="71">
        <f aca="true" t="shared" si="3" ref="I11:I23">IF(H11="","",H11/F11)</f>
        <v>0.11080901856763926</v>
      </c>
      <c r="J11" s="38">
        <v>7354</v>
      </c>
      <c r="K11" s="47">
        <v>6840</v>
      </c>
      <c r="L11" s="21">
        <f aca="true" t="shared" si="4" ref="L11:L22">IF(K11="","",K11-J11)</f>
        <v>-514</v>
      </c>
      <c r="M11" s="71">
        <f aca="true" t="shared" si="5" ref="M11:M23">IF(L11="","",L11/J11)</f>
        <v>-0.06989393527332065</v>
      </c>
      <c r="N11" s="38">
        <f>SUM(B11,F11,J11)</f>
        <v>26138</v>
      </c>
      <c r="O11" s="34">
        <f aca="true" t="shared" si="6" ref="O11:O22">IF(C11="","",SUM(C11,G11,K11))</f>
        <v>26841</v>
      </c>
      <c r="P11" s="21">
        <f aca="true" t="shared" si="7" ref="P11:P22">IF(O11="","",O11-N11)</f>
        <v>703</v>
      </c>
      <c r="Q11" s="71">
        <f aca="true" t="shared" si="8" ref="Q11:Q23">IF(P11="","",P11/N11)</f>
        <v>0.02689570739918892</v>
      </c>
    </row>
    <row r="12" spans="1:17" ht="11.25" customHeight="1">
      <c r="A12" s="20" t="s">
        <v>7</v>
      </c>
      <c r="B12" s="38">
        <v>3527</v>
      </c>
      <c r="C12" s="47">
        <v>3374</v>
      </c>
      <c r="D12" s="21">
        <f t="shared" si="0"/>
        <v>-153</v>
      </c>
      <c r="E12" s="71">
        <f t="shared" si="1"/>
        <v>-0.043379642755883185</v>
      </c>
      <c r="F12" s="38">
        <v>17289</v>
      </c>
      <c r="G12" s="47">
        <v>15803</v>
      </c>
      <c r="H12" s="21">
        <f t="shared" si="2"/>
        <v>-1486</v>
      </c>
      <c r="I12" s="71">
        <f t="shared" si="3"/>
        <v>-0.08595060443056278</v>
      </c>
      <c r="J12" s="38">
        <v>7354</v>
      </c>
      <c r="K12" s="47">
        <v>6865</v>
      </c>
      <c r="L12" s="21">
        <f t="shared" si="4"/>
        <v>-489</v>
      </c>
      <c r="M12" s="71">
        <f t="shared" si="5"/>
        <v>-0.0664944248028284</v>
      </c>
      <c r="N12" s="38">
        <f aca="true" t="shared" si="9" ref="N12:N22">SUM(B12,F12,J12)</f>
        <v>28170</v>
      </c>
      <c r="O12" s="34">
        <f t="shared" si="6"/>
        <v>26042</v>
      </c>
      <c r="P12" s="21">
        <f t="shared" si="7"/>
        <v>-2128</v>
      </c>
      <c r="Q12" s="71">
        <f t="shared" si="8"/>
        <v>-0.07554135605253816</v>
      </c>
    </row>
    <row r="13" spans="1:17" ht="11.25" customHeight="1">
      <c r="A13" s="27" t="s">
        <v>8</v>
      </c>
      <c r="B13" s="40">
        <v>3958</v>
      </c>
      <c r="C13" s="48">
        <v>3540</v>
      </c>
      <c r="D13" s="22">
        <f t="shared" si="0"/>
        <v>-418</v>
      </c>
      <c r="E13" s="72">
        <f t="shared" si="1"/>
        <v>-0.1056088933804952</v>
      </c>
      <c r="F13" s="40">
        <v>19328</v>
      </c>
      <c r="G13" s="48">
        <v>17042</v>
      </c>
      <c r="H13" s="22">
        <f t="shared" si="2"/>
        <v>-2286</v>
      </c>
      <c r="I13" s="72">
        <f t="shared" si="3"/>
        <v>-0.11827400662251655</v>
      </c>
      <c r="J13" s="40">
        <v>8339</v>
      </c>
      <c r="K13" s="48">
        <v>7053</v>
      </c>
      <c r="L13" s="22">
        <f t="shared" si="4"/>
        <v>-1286</v>
      </c>
      <c r="M13" s="72">
        <f t="shared" si="5"/>
        <v>-0.15421513370907783</v>
      </c>
      <c r="N13" s="40">
        <f t="shared" si="9"/>
        <v>31625</v>
      </c>
      <c r="O13" s="35">
        <f t="shared" si="6"/>
        <v>27635</v>
      </c>
      <c r="P13" s="22">
        <f t="shared" si="7"/>
        <v>-3990</v>
      </c>
      <c r="Q13" s="72">
        <f t="shared" si="8"/>
        <v>-0.12616600790513835</v>
      </c>
    </row>
    <row r="14" spans="1:17" ht="11.25" customHeight="1">
      <c r="A14" s="20" t="s">
        <v>9</v>
      </c>
      <c r="B14" s="38">
        <v>3484</v>
      </c>
      <c r="C14" s="47"/>
      <c r="D14" s="21">
        <f t="shared" si="0"/>
      </c>
      <c r="E14" s="71">
        <f t="shared" si="1"/>
      </c>
      <c r="F14" s="38">
        <v>15085</v>
      </c>
      <c r="G14" s="47"/>
      <c r="H14" s="21">
        <f t="shared" si="2"/>
      </c>
      <c r="I14" s="71">
        <f t="shared" si="3"/>
      </c>
      <c r="J14" s="38">
        <v>7704</v>
      </c>
      <c r="K14" s="47"/>
      <c r="L14" s="21">
        <f t="shared" si="4"/>
      </c>
      <c r="M14" s="71">
        <f t="shared" si="5"/>
      </c>
      <c r="N14" s="38">
        <f t="shared" si="9"/>
        <v>26273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v>3502</v>
      </c>
      <c r="C15" s="47"/>
      <c r="D15" s="21">
        <f t="shared" si="0"/>
      </c>
      <c r="E15" s="71">
        <f t="shared" si="1"/>
      </c>
      <c r="F15" s="38">
        <v>15839</v>
      </c>
      <c r="G15" s="47"/>
      <c r="H15" s="21">
        <f t="shared" si="2"/>
      </c>
      <c r="I15" s="71">
        <f t="shared" si="3"/>
      </c>
      <c r="J15" s="38">
        <v>7649</v>
      </c>
      <c r="K15" s="47"/>
      <c r="L15" s="21">
        <f t="shared" si="4"/>
      </c>
      <c r="M15" s="71">
        <f t="shared" si="5"/>
      </c>
      <c r="N15" s="38">
        <f t="shared" si="9"/>
        <v>26990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7" t="s">
        <v>11</v>
      </c>
      <c r="B16" s="40">
        <v>3709</v>
      </c>
      <c r="C16" s="48"/>
      <c r="D16" s="22">
        <f t="shared" si="0"/>
      </c>
      <c r="E16" s="72">
        <f t="shared" si="1"/>
      </c>
      <c r="F16" s="40">
        <v>18812</v>
      </c>
      <c r="G16" s="48"/>
      <c r="H16" s="22">
        <f t="shared" si="2"/>
      </c>
      <c r="I16" s="72">
        <f t="shared" si="3"/>
      </c>
      <c r="J16" s="40">
        <v>8244</v>
      </c>
      <c r="K16" s="48"/>
      <c r="L16" s="22">
        <f t="shared" si="4"/>
      </c>
      <c r="M16" s="72">
        <f t="shared" si="5"/>
      </c>
      <c r="N16" s="40">
        <f t="shared" si="9"/>
        <v>30765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v>3581</v>
      </c>
      <c r="C17" s="47"/>
      <c r="D17" s="21">
        <f t="shared" si="0"/>
      </c>
      <c r="E17" s="71">
        <f t="shared" si="1"/>
      </c>
      <c r="F17" s="38">
        <v>16610</v>
      </c>
      <c r="G17" s="47"/>
      <c r="H17" s="21">
        <f t="shared" si="2"/>
      </c>
      <c r="I17" s="71">
        <f t="shared" si="3"/>
      </c>
      <c r="J17" s="38">
        <v>7068</v>
      </c>
      <c r="K17" s="47"/>
      <c r="L17" s="21">
        <f t="shared" si="4"/>
      </c>
      <c r="M17" s="71">
        <f t="shared" si="5"/>
      </c>
      <c r="N17" s="38">
        <f t="shared" si="9"/>
        <v>27259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v>2962</v>
      </c>
      <c r="C18" s="47"/>
      <c r="D18" s="21">
        <f t="shared" si="0"/>
      </c>
      <c r="E18" s="71">
        <f t="shared" si="1"/>
      </c>
      <c r="F18" s="38">
        <v>12626</v>
      </c>
      <c r="G18" s="47"/>
      <c r="H18" s="21">
        <f t="shared" si="2"/>
      </c>
      <c r="I18" s="71">
        <f t="shared" si="3"/>
      </c>
      <c r="J18" s="38">
        <v>5928</v>
      </c>
      <c r="K18" s="47"/>
      <c r="L18" s="21">
        <f t="shared" si="4"/>
      </c>
      <c r="M18" s="71">
        <f t="shared" si="5"/>
      </c>
      <c r="N18" s="38">
        <f t="shared" si="9"/>
        <v>21516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7" t="s">
        <v>14</v>
      </c>
      <c r="B19" s="40">
        <v>3566</v>
      </c>
      <c r="C19" s="48"/>
      <c r="D19" s="22">
        <f t="shared" si="0"/>
      </c>
      <c r="E19" s="72">
        <f t="shared" si="1"/>
      </c>
      <c r="F19" s="40">
        <v>16448</v>
      </c>
      <c r="G19" s="48"/>
      <c r="H19" s="22">
        <f t="shared" si="2"/>
      </c>
      <c r="I19" s="72">
        <f t="shared" si="3"/>
      </c>
      <c r="J19" s="40">
        <v>7160</v>
      </c>
      <c r="K19" s="48"/>
      <c r="L19" s="22">
        <f t="shared" si="4"/>
      </c>
      <c r="M19" s="72">
        <f t="shared" si="5"/>
      </c>
      <c r="N19" s="40">
        <f t="shared" si="9"/>
        <v>27174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v>4019</v>
      </c>
      <c r="C20" s="47"/>
      <c r="D20" s="21">
        <f t="shared" si="0"/>
      </c>
      <c r="E20" s="71">
        <f t="shared" si="1"/>
      </c>
      <c r="F20" s="38">
        <v>18124</v>
      </c>
      <c r="G20" s="47"/>
      <c r="H20" s="21">
        <f t="shared" si="2"/>
      </c>
      <c r="I20" s="71">
        <f t="shared" si="3"/>
      </c>
      <c r="J20" s="38">
        <v>9185</v>
      </c>
      <c r="K20" s="47"/>
      <c r="L20" s="21">
        <f t="shared" si="4"/>
      </c>
      <c r="M20" s="71">
        <f t="shared" si="5"/>
      </c>
      <c r="N20" s="38">
        <f t="shared" si="9"/>
        <v>31328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v>3613</v>
      </c>
      <c r="C21" s="47"/>
      <c r="D21" s="21">
        <f t="shared" si="0"/>
      </c>
      <c r="E21" s="71">
        <f t="shared" si="1"/>
      </c>
      <c r="F21" s="38">
        <v>17196</v>
      </c>
      <c r="G21" s="47"/>
      <c r="H21" s="21">
        <f t="shared" si="2"/>
      </c>
      <c r="I21" s="71">
        <f t="shared" si="3"/>
      </c>
      <c r="J21" s="38">
        <v>7474</v>
      </c>
      <c r="K21" s="47"/>
      <c r="L21" s="21">
        <f t="shared" si="4"/>
      </c>
      <c r="M21" s="71">
        <f t="shared" si="5"/>
      </c>
      <c r="N21" s="38">
        <f t="shared" si="9"/>
        <v>28283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v>2656</v>
      </c>
      <c r="C22" s="49"/>
      <c r="D22" s="21">
        <f t="shared" si="0"/>
      </c>
      <c r="E22" s="57">
        <f t="shared" si="1"/>
      </c>
      <c r="F22" s="39">
        <v>13464</v>
      </c>
      <c r="G22" s="49"/>
      <c r="H22" s="21">
        <f t="shared" si="2"/>
      </c>
      <c r="I22" s="57">
        <f t="shared" si="3"/>
      </c>
      <c r="J22" s="39">
        <v>5976</v>
      </c>
      <c r="K22" s="49"/>
      <c r="L22" s="21">
        <f t="shared" si="4"/>
      </c>
      <c r="M22" s="57">
        <f t="shared" si="5"/>
      </c>
      <c r="N22" s="39">
        <f t="shared" si="9"/>
        <v>22096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11189</v>
      </c>
      <c r="C23" s="42">
        <f>IF(C11="","",SUM(C11:C22))</f>
        <v>10164</v>
      </c>
      <c r="D23" s="43">
        <f>IF(D11="","",SUM(D11:D22))</f>
        <v>-1025</v>
      </c>
      <c r="E23" s="64">
        <f t="shared" si="1"/>
        <v>-0.09160782911788364</v>
      </c>
      <c r="F23" s="41">
        <f>IF(G24&lt;7,F24,F25)</f>
        <v>51697</v>
      </c>
      <c r="G23" s="42">
        <f>IF(G11="","",SUM(G11:G22))</f>
        <v>49596</v>
      </c>
      <c r="H23" s="43">
        <f>IF(H11="","",SUM(H11:H22))</f>
        <v>-2101</v>
      </c>
      <c r="I23" s="64">
        <f t="shared" si="3"/>
        <v>-0.040640656130916684</v>
      </c>
      <c r="J23" s="41">
        <f>IF(K24&lt;7,J24,J25)</f>
        <v>23047</v>
      </c>
      <c r="K23" s="42">
        <f>IF(K11="","",SUM(K11:K22))</f>
        <v>20758</v>
      </c>
      <c r="L23" s="43">
        <f>IF(L11="","",SUM(L11:L22))</f>
        <v>-2289</v>
      </c>
      <c r="M23" s="64">
        <f t="shared" si="5"/>
        <v>-0.0993187833557513</v>
      </c>
      <c r="N23" s="41">
        <f>IF(O24&lt;7,N24,N25)</f>
        <v>85933</v>
      </c>
      <c r="O23" s="42">
        <f>IF(O11="","",SUM(O11:O22))</f>
        <v>80518</v>
      </c>
      <c r="P23" s="43">
        <f>IF(P11="","",SUM(P11:P22))</f>
        <v>-5415</v>
      </c>
      <c r="Q23" s="64">
        <f t="shared" si="8"/>
        <v>-0.0630142087440215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11189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51697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23047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85933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42281</v>
      </c>
      <c r="F25" s="92">
        <f>IF(G24=7,SUM(F11:F17),IF(G24=8,SUM(F11:F18),IF(G24=9,SUM(F11:F19),IF(G24=10,SUM(F11:F20),IF(G24=11,SUM(F11:F21),SUM(F11:F22))))))</f>
        <v>195901</v>
      </c>
      <c r="J25" s="92">
        <f>IF(K24=7,SUM(J11:J17),IF(K24=8,SUM(J11:J18),IF(K24=9,SUM(J11:J19),IF(K24=10,SUM(J11:J20),IF(K24=11,SUM(J11:J21),SUM(J11:J22))))))</f>
        <v>89435</v>
      </c>
      <c r="N25" s="92">
        <f>IF(O24=7,SUM(N11:N17),IF(O24=8,SUM(N11:N18),IF(O24=9,SUM(N11:N19),IF(O24=10,SUM(N11:N20),IF(O24=11,SUM(N11:N21),SUM(N11:N22))))))</f>
        <v>327617</v>
      </c>
    </row>
    <row r="26" spans="1:6" ht="11.25" customHeight="1">
      <c r="A26" s="7"/>
      <c r="B26" s="121" t="s">
        <v>22</v>
      </c>
      <c r="C26" s="133"/>
      <c r="D26" s="133"/>
      <c r="E26" s="133"/>
      <c r="F26" s="9" t="s">
        <v>31</v>
      </c>
    </row>
    <row r="27" spans="2:6" ht="11.25" customHeight="1" thickBot="1">
      <c r="B27" s="134"/>
      <c r="C27" s="134"/>
      <c r="D27" s="134"/>
      <c r="E27" s="134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>IF(C11="","",B11/$R31)</f>
        <v>168.36363636363637</v>
      </c>
      <c r="C31" s="81">
        <f>IF(C11="","",C11/$S31)</f>
        <v>147.72727272727272</v>
      </c>
      <c r="D31" s="77">
        <f>IF(C31="","",C31-B31)</f>
        <v>-20.636363636363654</v>
      </c>
      <c r="E31" s="73">
        <f>IF(C31="","",(C31-B31)/ABS(B31))</f>
        <v>-0.12257019438444934</v>
      </c>
      <c r="F31" s="78">
        <f>IF(G11="","",F11/$R31)</f>
        <v>685.4545454545455</v>
      </c>
      <c r="G31" s="81">
        <f>IF(G11="","",G11/$S31)</f>
        <v>761.4090909090909</v>
      </c>
      <c r="H31" s="97">
        <f>IF(G31="","",G31-F31)</f>
        <v>75.95454545454538</v>
      </c>
      <c r="I31" s="73">
        <f>IF(G31="","",(G31-F31)/ABS(F31))</f>
        <v>0.11080901856763914</v>
      </c>
      <c r="J31" s="78">
        <f>IF(K11="","",J11/$R31)</f>
        <v>334.27272727272725</v>
      </c>
      <c r="K31" s="81">
        <f>IF(K11="","",K11/$S31)</f>
        <v>310.90909090909093</v>
      </c>
      <c r="L31" s="97">
        <f>IF(K31="","",K31-J31)</f>
        <v>-23.363636363636317</v>
      </c>
      <c r="M31" s="73">
        <f>IF(K31="","",(K31-J31)/ABS(J31))</f>
        <v>-0.06989393527332051</v>
      </c>
      <c r="N31" s="78">
        <f>IF(O11="","",N11/$R31)</f>
        <v>1188.090909090909</v>
      </c>
      <c r="O31" s="81">
        <f>IF(O11="","",O11/$S31)</f>
        <v>1220.0454545454545</v>
      </c>
      <c r="P31" s="97">
        <f>IF(O31="","",O31-N31)</f>
        <v>31.954545454545496</v>
      </c>
      <c r="Q31" s="71">
        <f>IF(O31="","",(O31-N31)/ABS(N31))</f>
        <v>0.026895707399188958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aca="true" t="shared" si="10" ref="B32:B42">IF(C12="","",B12/$R32)</f>
        <v>167.95238095238096</v>
      </c>
      <c r="C32" s="81">
        <f aca="true" t="shared" si="11" ref="C32:C42">IF(C12="","",C12/$S32)</f>
        <v>168.7</v>
      </c>
      <c r="D32" s="77">
        <f aca="true" t="shared" si="12" ref="D32:D42">IF(C32="","",C32-B32)</f>
        <v>0.7476190476190254</v>
      </c>
      <c r="E32" s="73">
        <f aca="true" t="shared" si="13" ref="E32:E43">IF(C32="","",(C32-B32)/ABS(B32))</f>
        <v>0.004451375106322522</v>
      </c>
      <c r="F32" s="78">
        <f aca="true" t="shared" si="14" ref="F32:F42">IF(G12="","",F12/$R32)</f>
        <v>823.2857142857143</v>
      </c>
      <c r="G32" s="81">
        <f aca="true" t="shared" si="15" ref="G32:G42">IF(G12="","",G12/$S32)</f>
        <v>790.15</v>
      </c>
      <c r="H32" s="97">
        <f aca="true" t="shared" si="16" ref="H32:H42">IF(G32="","",G32-F32)</f>
        <v>-33.13571428571436</v>
      </c>
      <c r="I32" s="73">
        <f aca="true" t="shared" si="17" ref="I32:I43">IF(G32="","",(G32-F32)/ABS(F32))</f>
        <v>-0.04024813465209101</v>
      </c>
      <c r="J32" s="78">
        <f aca="true" t="shared" si="18" ref="J32:J42">IF(K12="","",J12/$R32)</f>
        <v>350.1904761904762</v>
      </c>
      <c r="K32" s="81">
        <f aca="true" t="shared" si="19" ref="K32:K42">IF(K12="","",K12/$S32)</f>
        <v>343.25</v>
      </c>
      <c r="L32" s="97">
        <f aca="true" t="shared" si="20" ref="L32:L42">IF(K32="","",K32-J32)</f>
        <v>-6.940476190476204</v>
      </c>
      <c r="M32" s="73">
        <f aca="true" t="shared" si="21" ref="M32:M43">IF(K32="","",(K32-J32)/ABS(J32))</f>
        <v>-0.01981914604296985</v>
      </c>
      <c r="N32" s="78">
        <f aca="true" t="shared" si="22" ref="N32:N42">IF(O12="","",N12/$R32)</f>
        <v>1341.4285714285713</v>
      </c>
      <c r="O32" s="81">
        <f aca="true" t="shared" si="23" ref="O32:O42">IF(O12="","",O12/$S32)</f>
        <v>1302.1</v>
      </c>
      <c r="P32" s="97">
        <f aca="true" t="shared" si="24" ref="P32:P42">IF(O32="","",O32-N32)</f>
        <v>-39.32857142857142</v>
      </c>
      <c r="Q32" s="71">
        <f aca="true" t="shared" si="25" ref="Q32:Q43">IF(O32="","",(O32-N32)/ABS(N32))</f>
        <v>-0.029318423855165067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179.9090909090909</v>
      </c>
      <c r="C33" s="82">
        <f t="shared" si="11"/>
        <v>177</v>
      </c>
      <c r="D33" s="84">
        <f t="shared" si="12"/>
        <v>-2.9090909090909065</v>
      </c>
      <c r="E33" s="74">
        <f t="shared" si="13"/>
        <v>-0.016169782718544707</v>
      </c>
      <c r="F33" s="79">
        <f t="shared" si="14"/>
        <v>878.5454545454545</v>
      </c>
      <c r="G33" s="82">
        <f t="shared" si="15"/>
        <v>852.1</v>
      </c>
      <c r="H33" s="98">
        <f t="shared" si="16"/>
        <v>-26.44545454545448</v>
      </c>
      <c r="I33" s="74">
        <f t="shared" si="17"/>
        <v>-0.03010140728476814</v>
      </c>
      <c r="J33" s="79">
        <f t="shared" si="18"/>
        <v>379.04545454545456</v>
      </c>
      <c r="K33" s="82">
        <f t="shared" si="19"/>
        <v>352.65</v>
      </c>
      <c r="L33" s="98">
        <f t="shared" si="20"/>
        <v>-26.395454545454584</v>
      </c>
      <c r="M33" s="74">
        <f t="shared" si="21"/>
        <v>-0.06963664707998571</v>
      </c>
      <c r="N33" s="79">
        <f t="shared" si="22"/>
        <v>1437.5</v>
      </c>
      <c r="O33" s="82">
        <f t="shared" si="23"/>
        <v>1381.75</v>
      </c>
      <c r="P33" s="98">
        <f t="shared" si="24"/>
        <v>-55.75</v>
      </c>
      <c r="Q33" s="72">
        <f t="shared" si="25"/>
        <v>-0.03878260869565217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AVERAGE(B31:B42)</f>
        <v>172.07503607503608</v>
      </c>
      <c r="C43" s="83">
        <f>IF(C11="","",AVERAGE(C31:C42))</f>
        <v>164.47575757575757</v>
      </c>
      <c r="D43" s="75">
        <f>IF(D31="","",AVERAGE(D31:D42))</f>
        <v>-7.599278499278512</v>
      </c>
      <c r="E43" s="65">
        <f t="shared" si="13"/>
        <v>-0.04416258553602583</v>
      </c>
      <c r="F43" s="80">
        <f>AVERAGE(F31:F42)</f>
        <v>795.7619047619047</v>
      </c>
      <c r="G43" s="83">
        <f>IF(G11="","",AVERAGE(G31:G42))</f>
        <v>801.219696969697</v>
      </c>
      <c r="H43" s="99">
        <f>IF(H31="","",AVERAGE(H31:H42))</f>
        <v>5.457792207792181</v>
      </c>
      <c r="I43" s="65">
        <f t="shared" si="17"/>
        <v>0.006858574373983496</v>
      </c>
      <c r="J43" s="80">
        <f>AVERAGE(J31:J42)</f>
        <v>354.502886002886</v>
      </c>
      <c r="K43" s="83">
        <f>IF(K11="","",AVERAGE(K31:K42))</f>
        <v>335.6030303030303</v>
      </c>
      <c r="L43" s="99">
        <f>IF(L31="","",AVERAGE(L31:L42))</f>
        <v>-18.899855699855703</v>
      </c>
      <c r="M43" s="65">
        <f t="shared" si="21"/>
        <v>-0.053313686421446516</v>
      </c>
      <c r="N43" s="80">
        <f>AVERAGE(N31:N42)</f>
        <v>1322.3398268398269</v>
      </c>
      <c r="O43" s="83">
        <f>IF(O11="","",AVERAGE(O31:O42))</f>
        <v>1301.2984848484848</v>
      </c>
      <c r="P43" s="99">
        <f>IF(P31="","",AVERAGE(P31:P42))</f>
        <v>-21.041341991341977</v>
      </c>
      <c r="Q43" s="66">
        <f t="shared" si="25"/>
        <v>-0.01591220468767652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R30:S30"/>
    <mergeCell ref="B8:E8"/>
    <mergeCell ref="D29:E29"/>
    <mergeCell ref="H29:I29"/>
    <mergeCell ref="L29:M29"/>
    <mergeCell ref="F8:I8"/>
    <mergeCell ref="J8:M8"/>
    <mergeCell ref="B6:E7"/>
    <mergeCell ref="B26:E27"/>
    <mergeCell ref="J28:M28"/>
    <mergeCell ref="N28:Q28"/>
    <mergeCell ref="B2:E2"/>
    <mergeCell ref="B3:C3"/>
    <mergeCell ref="D3:E3"/>
    <mergeCell ref="P29:Q29"/>
    <mergeCell ref="D9:E9"/>
    <mergeCell ref="H9:I9"/>
    <mergeCell ref="L9:M9"/>
    <mergeCell ref="P9:Q9"/>
    <mergeCell ref="N8:Q8"/>
    <mergeCell ref="B28:E28"/>
    <mergeCell ref="F28:I28"/>
  </mergeCells>
  <conditionalFormatting sqref="B13:B16 B18:B21 F13:F16 F18:F21 J13:J16 J18:J21 N13:N16 N18:N21">
    <cfRule type="expression" priority="3" dxfId="2" stopIfTrue="1">
      <formula>C13=""</formula>
    </cfRule>
  </conditionalFormatting>
  <conditionalFormatting sqref="B17 B12 B22 F17 F12 F22 J17 J12 J22 N17 N12 N22">
    <cfRule type="expression" priority="4" dxfId="2" stopIfTrue="1">
      <formula>C12=""</formula>
    </cfRule>
  </conditionalFormatting>
  <conditionalFormatting sqref="R43:S43 S31:S42">
    <cfRule type="expression" priority="5" dxfId="1" stopIfTrue="1">
      <formula>R31&lt;$R31</formula>
    </cfRule>
    <cfRule type="expression" priority="6" dxfId="0" stopIfTrue="1">
      <formula>R31&gt;$R31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9" t="s">
        <v>26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5" t="s">
        <v>19</v>
      </c>
      <c r="E3" s="135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14464</v>
      </c>
      <c r="C11" s="47">
        <v>15001</v>
      </c>
      <c r="D11" s="21">
        <f aca="true" t="shared" si="0" ref="D11:D22">IF(C11="","",C11-B11)</f>
        <v>537</v>
      </c>
      <c r="E11" s="71">
        <f aca="true" t="shared" si="1" ref="E11:E23">IF(D11="","",D11/B11)</f>
        <v>0.037126659292035395</v>
      </c>
      <c r="F11" s="38">
        <v>12840</v>
      </c>
      <c r="G11" s="47">
        <v>12376</v>
      </c>
      <c r="H11" s="21">
        <f aca="true" t="shared" si="2" ref="H11:H22">IF(G11="","",G11-F11)</f>
        <v>-464</v>
      </c>
      <c r="I11" s="71">
        <f aca="true" t="shared" si="3" ref="I11:I23">IF(H11="","",H11/F11)</f>
        <v>-0.03613707165109034</v>
      </c>
      <c r="J11" s="38">
        <v>2246</v>
      </c>
      <c r="K11" s="47">
        <v>2274</v>
      </c>
      <c r="L11" s="21">
        <f aca="true" t="shared" si="4" ref="L11:L22">IF(K11="","",K11-J11)</f>
        <v>28</v>
      </c>
      <c r="M11" s="71">
        <f aca="true" t="shared" si="5" ref="M11:M23">IF(L11="","",L11/J11)</f>
        <v>0.012466607301869992</v>
      </c>
      <c r="N11" s="38">
        <f>SUM(B11,F11,J11)</f>
        <v>29550</v>
      </c>
      <c r="O11" s="34">
        <f aca="true" t="shared" si="6" ref="O11:O22">IF(C11="","",SUM(C11,G11,K11))</f>
        <v>29651</v>
      </c>
      <c r="P11" s="21">
        <f aca="true" t="shared" si="7" ref="P11:P22">IF(O11="","",O11-N11)</f>
        <v>101</v>
      </c>
      <c r="Q11" s="71">
        <f aca="true" t="shared" si="8" ref="Q11:Q23">IF(P11="","",P11/N11)</f>
        <v>0.0034179357021996617</v>
      </c>
    </row>
    <row r="12" spans="1:17" ht="11.25" customHeight="1">
      <c r="A12" s="20" t="s">
        <v>7</v>
      </c>
      <c r="B12" s="38">
        <v>14702</v>
      </c>
      <c r="C12" s="47">
        <v>15988</v>
      </c>
      <c r="D12" s="21">
        <f t="shared" si="0"/>
        <v>1286</v>
      </c>
      <c r="E12" s="71">
        <f t="shared" si="1"/>
        <v>0.08747109236838525</v>
      </c>
      <c r="F12" s="38">
        <v>13408</v>
      </c>
      <c r="G12" s="47">
        <v>13103</v>
      </c>
      <c r="H12" s="21">
        <f t="shared" si="2"/>
        <v>-305</v>
      </c>
      <c r="I12" s="71">
        <f t="shared" si="3"/>
        <v>-0.02274761336515513</v>
      </c>
      <c r="J12" s="38">
        <v>2357</v>
      </c>
      <c r="K12" s="47">
        <v>2396</v>
      </c>
      <c r="L12" s="21">
        <f t="shared" si="4"/>
        <v>39</v>
      </c>
      <c r="M12" s="71">
        <f t="shared" si="5"/>
        <v>0.016546457361052185</v>
      </c>
      <c r="N12" s="38">
        <f aca="true" t="shared" si="9" ref="N12:N22">SUM(B12,F12,J12)</f>
        <v>30467</v>
      </c>
      <c r="O12" s="34">
        <f t="shared" si="6"/>
        <v>31487</v>
      </c>
      <c r="P12" s="21">
        <f t="shared" si="7"/>
        <v>1020</v>
      </c>
      <c r="Q12" s="71">
        <f t="shared" si="8"/>
        <v>0.033478845964486165</v>
      </c>
    </row>
    <row r="13" spans="1:17" ht="11.25" customHeight="1">
      <c r="A13" s="27" t="s">
        <v>8</v>
      </c>
      <c r="B13" s="40">
        <v>16476</v>
      </c>
      <c r="C13" s="48">
        <v>17301</v>
      </c>
      <c r="D13" s="22">
        <f t="shared" si="0"/>
        <v>825</v>
      </c>
      <c r="E13" s="72">
        <f t="shared" si="1"/>
        <v>0.050072833211944646</v>
      </c>
      <c r="F13" s="40">
        <v>14240</v>
      </c>
      <c r="G13" s="48">
        <v>14298</v>
      </c>
      <c r="H13" s="22">
        <f t="shared" si="2"/>
        <v>58</v>
      </c>
      <c r="I13" s="72">
        <f t="shared" si="3"/>
        <v>0.004073033707865169</v>
      </c>
      <c r="J13" s="40">
        <v>2629</v>
      </c>
      <c r="K13" s="48">
        <v>2600</v>
      </c>
      <c r="L13" s="22">
        <f t="shared" si="4"/>
        <v>-29</v>
      </c>
      <c r="M13" s="72">
        <f t="shared" si="5"/>
        <v>-0.01103081019399011</v>
      </c>
      <c r="N13" s="40">
        <f t="shared" si="9"/>
        <v>33345</v>
      </c>
      <c r="O13" s="35">
        <f t="shared" si="6"/>
        <v>34199</v>
      </c>
      <c r="P13" s="22">
        <f t="shared" si="7"/>
        <v>854</v>
      </c>
      <c r="Q13" s="72">
        <f t="shared" si="8"/>
        <v>0.025611036137351925</v>
      </c>
    </row>
    <row r="14" spans="1:17" ht="11.25" customHeight="1">
      <c r="A14" s="20" t="s">
        <v>9</v>
      </c>
      <c r="B14" s="38">
        <v>14960</v>
      </c>
      <c r="C14" s="47"/>
      <c r="D14" s="21">
        <f t="shared" si="0"/>
      </c>
      <c r="E14" s="71">
        <f t="shared" si="1"/>
      </c>
      <c r="F14" s="38">
        <v>11807</v>
      </c>
      <c r="G14" s="47"/>
      <c r="H14" s="21">
        <f t="shared" si="2"/>
      </c>
      <c r="I14" s="71">
        <f t="shared" si="3"/>
      </c>
      <c r="J14" s="38">
        <v>2235</v>
      </c>
      <c r="K14" s="47"/>
      <c r="L14" s="21">
        <f t="shared" si="4"/>
      </c>
      <c r="M14" s="71">
        <f t="shared" si="5"/>
      </c>
      <c r="N14" s="38">
        <f t="shared" si="9"/>
        <v>29002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v>15581</v>
      </c>
      <c r="C15" s="47"/>
      <c r="D15" s="21">
        <f t="shared" si="0"/>
      </c>
      <c r="E15" s="71">
        <f t="shared" si="1"/>
      </c>
      <c r="F15" s="38">
        <v>12390</v>
      </c>
      <c r="G15" s="47"/>
      <c r="H15" s="21">
        <f t="shared" si="2"/>
      </c>
      <c r="I15" s="71">
        <f t="shared" si="3"/>
      </c>
      <c r="J15" s="38">
        <v>2302</v>
      </c>
      <c r="K15" s="47"/>
      <c r="L15" s="21">
        <f t="shared" si="4"/>
      </c>
      <c r="M15" s="71">
        <f t="shared" si="5"/>
      </c>
      <c r="N15" s="38">
        <f t="shared" si="9"/>
        <v>30273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7" t="s">
        <v>11</v>
      </c>
      <c r="B16" s="40">
        <v>15509</v>
      </c>
      <c r="C16" s="48"/>
      <c r="D16" s="22">
        <f t="shared" si="0"/>
      </c>
      <c r="E16" s="72">
        <f t="shared" si="1"/>
      </c>
      <c r="F16" s="40">
        <v>12567</v>
      </c>
      <c r="G16" s="48"/>
      <c r="H16" s="22">
        <f t="shared" si="2"/>
      </c>
      <c r="I16" s="72">
        <f t="shared" si="3"/>
      </c>
      <c r="J16" s="40">
        <v>2374</v>
      </c>
      <c r="K16" s="48"/>
      <c r="L16" s="22">
        <f t="shared" si="4"/>
      </c>
      <c r="M16" s="72">
        <f t="shared" si="5"/>
      </c>
      <c r="N16" s="40">
        <f t="shared" si="9"/>
        <v>30450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v>16119</v>
      </c>
      <c r="C17" s="47"/>
      <c r="D17" s="21">
        <f t="shared" si="0"/>
      </c>
      <c r="E17" s="71">
        <f t="shared" si="1"/>
      </c>
      <c r="F17" s="38">
        <v>12308</v>
      </c>
      <c r="G17" s="47"/>
      <c r="H17" s="21">
        <f t="shared" si="2"/>
      </c>
      <c r="I17" s="71">
        <f t="shared" si="3"/>
      </c>
      <c r="J17" s="38">
        <v>2356</v>
      </c>
      <c r="K17" s="47"/>
      <c r="L17" s="21">
        <f t="shared" si="4"/>
      </c>
      <c r="M17" s="71">
        <f t="shared" si="5"/>
      </c>
      <c r="N17" s="38">
        <f t="shared" si="9"/>
        <v>30783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v>15833</v>
      </c>
      <c r="C18" s="47"/>
      <c r="D18" s="21">
        <f t="shared" si="0"/>
      </c>
      <c r="E18" s="71">
        <f t="shared" si="1"/>
      </c>
      <c r="F18" s="38">
        <v>11256</v>
      </c>
      <c r="G18" s="47"/>
      <c r="H18" s="21">
        <f t="shared" si="2"/>
      </c>
      <c r="I18" s="71">
        <f t="shared" si="3"/>
      </c>
      <c r="J18" s="38">
        <v>2253</v>
      </c>
      <c r="K18" s="47"/>
      <c r="L18" s="21">
        <f t="shared" si="4"/>
      </c>
      <c r="M18" s="71">
        <f t="shared" si="5"/>
      </c>
      <c r="N18" s="38">
        <f t="shared" si="9"/>
        <v>29342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7" t="s">
        <v>14</v>
      </c>
      <c r="B19" s="40">
        <v>16565</v>
      </c>
      <c r="C19" s="48"/>
      <c r="D19" s="22">
        <f t="shared" si="0"/>
      </c>
      <c r="E19" s="72">
        <f t="shared" si="1"/>
      </c>
      <c r="F19" s="40">
        <v>12489</v>
      </c>
      <c r="G19" s="48"/>
      <c r="H19" s="22">
        <f t="shared" si="2"/>
      </c>
      <c r="I19" s="72">
        <f t="shared" si="3"/>
      </c>
      <c r="J19" s="40">
        <v>2395</v>
      </c>
      <c r="K19" s="48"/>
      <c r="L19" s="22">
        <f t="shared" si="4"/>
      </c>
      <c r="M19" s="72">
        <f t="shared" si="5"/>
      </c>
      <c r="N19" s="40">
        <f t="shared" si="9"/>
        <v>31449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v>17985</v>
      </c>
      <c r="C20" s="47"/>
      <c r="D20" s="21">
        <f t="shared" si="0"/>
      </c>
      <c r="E20" s="71">
        <f t="shared" si="1"/>
      </c>
      <c r="F20" s="38">
        <v>12571</v>
      </c>
      <c r="G20" s="47"/>
      <c r="H20" s="21">
        <f t="shared" si="2"/>
      </c>
      <c r="I20" s="71">
        <f t="shared" si="3"/>
      </c>
      <c r="J20" s="38">
        <v>2544</v>
      </c>
      <c r="K20" s="47"/>
      <c r="L20" s="21">
        <f t="shared" si="4"/>
      </c>
      <c r="M20" s="71">
        <f t="shared" si="5"/>
      </c>
      <c r="N20" s="38">
        <f t="shared" si="9"/>
        <v>33100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v>16332</v>
      </c>
      <c r="C21" s="47"/>
      <c r="D21" s="21">
        <f t="shared" si="0"/>
      </c>
      <c r="E21" s="71">
        <f t="shared" si="1"/>
      </c>
      <c r="F21" s="38">
        <v>11631</v>
      </c>
      <c r="G21" s="47"/>
      <c r="H21" s="21">
        <f t="shared" si="2"/>
      </c>
      <c r="I21" s="71">
        <f t="shared" si="3"/>
      </c>
      <c r="J21" s="38">
        <v>2314</v>
      </c>
      <c r="K21" s="47"/>
      <c r="L21" s="21">
        <f t="shared" si="4"/>
      </c>
      <c r="M21" s="71">
        <f t="shared" si="5"/>
      </c>
      <c r="N21" s="38">
        <f t="shared" si="9"/>
        <v>30277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v>12549</v>
      </c>
      <c r="C22" s="49"/>
      <c r="D22" s="21">
        <f t="shared" si="0"/>
      </c>
      <c r="E22" s="57">
        <f t="shared" si="1"/>
      </c>
      <c r="F22" s="39">
        <v>9496</v>
      </c>
      <c r="G22" s="49"/>
      <c r="H22" s="21">
        <f t="shared" si="2"/>
      </c>
      <c r="I22" s="57">
        <f t="shared" si="3"/>
      </c>
      <c r="J22" s="39">
        <v>1828</v>
      </c>
      <c r="K22" s="49"/>
      <c r="L22" s="21">
        <f t="shared" si="4"/>
      </c>
      <c r="M22" s="57">
        <f t="shared" si="5"/>
      </c>
      <c r="N22" s="39">
        <f t="shared" si="9"/>
        <v>23873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45642</v>
      </c>
      <c r="C23" s="42">
        <f>IF(C11="","",SUM(C11:C22))</f>
        <v>48290</v>
      </c>
      <c r="D23" s="43">
        <f>IF(D11="","",SUM(D11:D22))</f>
        <v>2648</v>
      </c>
      <c r="E23" s="64">
        <f t="shared" si="1"/>
        <v>0.05801673896849393</v>
      </c>
      <c r="F23" s="41">
        <f>IF(G24&lt;7,F24,F25)</f>
        <v>40488</v>
      </c>
      <c r="G23" s="42">
        <f>IF(G11="","",SUM(G11:G22))</f>
        <v>39777</v>
      </c>
      <c r="H23" s="43">
        <f>IF(H11="","",SUM(H11:H22))</f>
        <v>-711</v>
      </c>
      <c r="I23" s="64">
        <f t="shared" si="3"/>
        <v>-0.017560758743331358</v>
      </c>
      <c r="J23" s="41">
        <f>IF(K24&lt;7,J24,J25)</f>
        <v>7232</v>
      </c>
      <c r="K23" s="42">
        <f>IF(K11="","",SUM(K11:K22))</f>
        <v>7270</v>
      </c>
      <c r="L23" s="43">
        <f>IF(L11="","",SUM(L11:L22))</f>
        <v>38</v>
      </c>
      <c r="M23" s="64">
        <f t="shared" si="5"/>
        <v>0.005254424778761062</v>
      </c>
      <c r="N23" s="41">
        <f>IF(O24&lt;7,N24,N25)</f>
        <v>93362</v>
      </c>
      <c r="O23" s="42">
        <f>IF(O11="","",SUM(O11:O22))</f>
        <v>95337</v>
      </c>
      <c r="P23" s="43">
        <f>IF(P11="","",SUM(P11:P22))</f>
        <v>1975</v>
      </c>
      <c r="Q23" s="64">
        <f t="shared" si="8"/>
        <v>0.021154216919089138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45642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40488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7232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93362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187075</v>
      </c>
      <c r="F25" s="92">
        <f>IF(G24=7,SUM(F11:F17),IF(G24=8,SUM(F11:F18),IF(G24=9,SUM(F11:F19),IF(G24=10,SUM(F11:F20),IF(G24=11,SUM(F11:F21),SUM(F11:F22))))))</f>
        <v>147003</v>
      </c>
      <c r="J25" s="92">
        <f>IF(K24=7,SUM(J11:J17),IF(K24=8,SUM(J11:J18),IF(K24=9,SUM(J11:J19),IF(K24=10,SUM(J11:J20),IF(K24=11,SUM(J11:J21),SUM(J11:J22))))))</f>
        <v>27833</v>
      </c>
      <c r="N25" s="92">
        <f>IF(O24=7,SUM(N11:N17),IF(O24=8,SUM(N11:N18),IF(O24=9,SUM(N11:N19),IF(O24=10,SUM(N11:N20),IF(O24=11,SUM(N11:N21),SUM(N11:N22))))))</f>
        <v>361911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>IF(C11="","",B11/$R31)</f>
        <v>657.4545454545455</v>
      </c>
      <c r="C31" s="81">
        <f>IF(C11="","",C11/$S31)</f>
        <v>681.8636363636364</v>
      </c>
      <c r="D31" s="77">
        <f>IF(C31="","",C31-B31)</f>
        <v>24.409090909090878</v>
      </c>
      <c r="E31" s="73">
        <f>IF(C31="","",(C31-B31)/ABS(B31))</f>
        <v>0.03712665929203535</v>
      </c>
      <c r="F31" s="78">
        <f>IF(G11="","",F11/$R31)</f>
        <v>583.6363636363636</v>
      </c>
      <c r="G31" s="81">
        <f>IF(G11="","",G11/$S31)</f>
        <v>562.5454545454545</v>
      </c>
      <c r="H31" s="97">
        <f>IF(G31="","",G31-F31)</f>
        <v>-21.090909090909122</v>
      </c>
      <c r="I31" s="73">
        <f>IF(G31="","",(G31-F31)/ABS(F31))</f>
        <v>-0.0361370716510904</v>
      </c>
      <c r="J31" s="78">
        <f>IF(K11="","",J11/$R31)</f>
        <v>102.0909090909091</v>
      </c>
      <c r="K31" s="81">
        <f>IF(K11="","",K11/$S31)</f>
        <v>103.36363636363636</v>
      </c>
      <c r="L31" s="97">
        <f>IF(K31="","",K31-J31)</f>
        <v>1.2727272727272663</v>
      </c>
      <c r="M31" s="73">
        <f>IF(K31="","",(K31-J31)/ABS(J31))</f>
        <v>0.012466607301869928</v>
      </c>
      <c r="N31" s="78">
        <f>IF(O11="","",N11/$R31)</f>
        <v>1343.1818181818182</v>
      </c>
      <c r="O31" s="81">
        <f>IF(O11="","",O11/$S31)</f>
        <v>1347.7727272727273</v>
      </c>
      <c r="P31" s="97">
        <f>IF(O31="","",O31-N31)</f>
        <v>4.590909090909008</v>
      </c>
      <c r="Q31" s="71">
        <f>IF(O31="","",(O31-N31)/ABS(N31))</f>
        <v>0.0034179357021995997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aca="true" t="shared" si="10" ref="B32:B42">IF(C12="","",B12/$R32)</f>
        <v>700.0952380952381</v>
      </c>
      <c r="C32" s="81">
        <f aca="true" t="shared" si="11" ref="C32:C42">IF(C12="","",C12/$S32)</f>
        <v>799.4</v>
      </c>
      <c r="D32" s="77">
        <f aca="true" t="shared" si="12" ref="D32:D42">IF(C32="","",C32-B32)</f>
        <v>99.3047619047619</v>
      </c>
      <c r="E32" s="73">
        <f aca="true" t="shared" si="13" ref="E32:E43">IF(C32="","",(C32-B32)/ABS(B32))</f>
        <v>0.14184464698680452</v>
      </c>
      <c r="F32" s="78">
        <f aca="true" t="shared" si="14" ref="F32:F42">IF(G12="","",F12/$R32)</f>
        <v>638.4761904761905</v>
      </c>
      <c r="G32" s="81">
        <f aca="true" t="shared" si="15" ref="G32:G42">IF(G12="","",G12/$S32)</f>
        <v>655.15</v>
      </c>
      <c r="H32" s="97">
        <f aca="true" t="shared" si="16" ref="H32:H42">IF(G32="","",G32-F32)</f>
        <v>16.673809523809496</v>
      </c>
      <c r="I32" s="73">
        <f aca="true" t="shared" si="17" ref="I32:I43">IF(G32="","",(G32-F32)/ABS(F32))</f>
        <v>0.026115005966587067</v>
      </c>
      <c r="J32" s="78">
        <f aca="true" t="shared" si="18" ref="J32:J42">IF(K12="","",J12/$R32)</f>
        <v>112.23809523809524</v>
      </c>
      <c r="K32" s="81">
        <f aca="true" t="shared" si="19" ref="K32:K42">IF(K12="","",K12/$S32)</f>
        <v>119.8</v>
      </c>
      <c r="L32" s="97">
        <f aca="true" t="shared" si="20" ref="L32:L42">IF(K32="","",K32-J32)</f>
        <v>7.561904761904756</v>
      </c>
      <c r="M32" s="73">
        <f aca="true" t="shared" si="21" ref="M32:M43">IF(K32="","",(K32-J32)/ABS(J32))</f>
        <v>0.06737378022910474</v>
      </c>
      <c r="N32" s="78">
        <f aca="true" t="shared" si="22" ref="N32:N42">IF(O12="","",N12/$R32)</f>
        <v>1450.8095238095239</v>
      </c>
      <c r="O32" s="81">
        <f aca="true" t="shared" si="23" ref="O32:O42">IF(O12="","",O12/$S32)</f>
        <v>1574.35</v>
      </c>
      <c r="P32" s="97">
        <f aca="true" t="shared" si="24" ref="P32:P42">IF(O32="","",O32-N32)</f>
        <v>123.54047619047606</v>
      </c>
      <c r="Q32" s="71">
        <f aca="true" t="shared" si="25" ref="Q32:Q43">IF(O32="","",(O32-N32)/ABS(N32))</f>
        <v>0.08515278826271037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748.9090909090909</v>
      </c>
      <c r="C33" s="82">
        <f t="shared" si="11"/>
        <v>865.05</v>
      </c>
      <c r="D33" s="84">
        <f t="shared" si="12"/>
        <v>116.14090909090908</v>
      </c>
      <c r="E33" s="74">
        <f t="shared" si="13"/>
        <v>0.1550801165331391</v>
      </c>
      <c r="F33" s="79">
        <f t="shared" si="14"/>
        <v>647.2727272727273</v>
      </c>
      <c r="G33" s="82">
        <f t="shared" si="15"/>
        <v>714.9</v>
      </c>
      <c r="H33" s="98">
        <f t="shared" si="16"/>
        <v>67.62727272727273</v>
      </c>
      <c r="I33" s="74">
        <f t="shared" si="17"/>
        <v>0.10448033707865169</v>
      </c>
      <c r="J33" s="79">
        <f t="shared" si="18"/>
        <v>119.5</v>
      </c>
      <c r="K33" s="82">
        <f t="shared" si="19"/>
        <v>130</v>
      </c>
      <c r="L33" s="98">
        <f t="shared" si="20"/>
        <v>10.5</v>
      </c>
      <c r="M33" s="74">
        <f t="shared" si="21"/>
        <v>0.08786610878661087</v>
      </c>
      <c r="N33" s="79">
        <f t="shared" si="22"/>
        <v>1515.6818181818182</v>
      </c>
      <c r="O33" s="82">
        <f t="shared" si="23"/>
        <v>1709.95</v>
      </c>
      <c r="P33" s="98">
        <f t="shared" si="24"/>
        <v>194.2681818181818</v>
      </c>
      <c r="Q33" s="72">
        <f t="shared" si="25"/>
        <v>0.1281721397510871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AVERAGE(B31:B42)</f>
        <v>702.1529581529581</v>
      </c>
      <c r="C43" s="83">
        <f>IF(C11="","",AVERAGE(C31:C42))</f>
        <v>782.1045454545455</v>
      </c>
      <c r="D43" s="75">
        <f>IF(D31="","",AVERAGE(D31:D42))</f>
        <v>79.95158730158728</v>
      </c>
      <c r="E43" s="65">
        <f t="shared" si="13"/>
        <v>0.11386633976719719</v>
      </c>
      <c r="F43" s="80">
        <f>AVERAGE(F31:F42)</f>
        <v>623.1284271284271</v>
      </c>
      <c r="G43" s="83">
        <f>IF(G11="","",AVERAGE(G31:G42))</f>
        <v>644.1984848484849</v>
      </c>
      <c r="H43" s="99">
        <f>IF(H31="","",AVERAGE(H31:H42))</f>
        <v>21.0700577200577</v>
      </c>
      <c r="I43" s="65">
        <f t="shared" si="17"/>
        <v>0.03381334698074242</v>
      </c>
      <c r="J43" s="80">
        <f>AVERAGE(J31:J42)</f>
        <v>111.27633477633476</v>
      </c>
      <c r="K43" s="83">
        <f>IF(K11="","",AVERAGE(K31:K42))</f>
        <v>117.7212121212121</v>
      </c>
      <c r="L43" s="99">
        <f>IF(L31="","",AVERAGE(L31:L42))</f>
        <v>6.444877344877341</v>
      </c>
      <c r="M43" s="65">
        <f t="shared" si="21"/>
        <v>0.05791777162531039</v>
      </c>
      <c r="N43" s="80">
        <f>AVERAGE(N31:N42)</f>
        <v>1436.55772005772</v>
      </c>
      <c r="O43" s="83">
        <f>IF(O11="","",AVERAGE(O31:O42))</f>
        <v>1544.0242424242424</v>
      </c>
      <c r="P43" s="99">
        <f>IF(P31="","",AVERAGE(P31:P42))</f>
        <v>107.46652236652228</v>
      </c>
      <c r="Q43" s="66">
        <f t="shared" si="25"/>
        <v>0.07480835671691946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N8:Q8"/>
    <mergeCell ref="B28:E28"/>
    <mergeCell ref="F8:I8"/>
    <mergeCell ref="F28:I28"/>
    <mergeCell ref="N28:Q28"/>
    <mergeCell ref="P9:Q9"/>
    <mergeCell ref="B2:E2"/>
    <mergeCell ref="D3:E3"/>
    <mergeCell ref="B6:E7"/>
    <mergeCell ref="B26:E27"/>
    <mergeCell ref="B3:C3"/>
    <mergeCell ref="J8:M8"/>
  </mergeCells>
  <conditionalFormatting sqref="B13:B16 B18:B21 F13:F16 F18:F21 J13:J16 J18:J21 N13:N16 N18:N21">
    <cfRule type="expression" priority="3" dxfId="2" stopIfTrue="1">
      <formula>C13=""</formula>
    </cfRule>
  </conditionalFormatting>
  <conditionalFormatting sqref="B17 N22 B22 F17 F12 F22 J17 J12 J22 N17 N12">
    <cfRule type="expression" priority="4" dxfId="2" stopIfTrue="1">
      <formula>C12=""</formula>
    </cfRule>
  </conditionalFormatting>
  <conditionalFormatting sqref="R43:S43 S31:S42">
    <cfRule type="expression" priority="5" dxfId="1" stopIfTrue="1">
      <formula>R31&lt;$R31</formula>
    </cfRule>
    <cfRule type="expression" priority="6" dxfId="0" stopIfTrue="1">
      <formula>R31&gt;$R31</formula>
    </cfRule>
  </conditionalFormatting>
  <conditionalFormatting sqref="B12">
    <cfRule type="expression" priority="7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2" t="s">
        <v>18</v>
      </c>
      <c r="B2" s="129" t="s">
        <v>26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0" t="s">
        <v>25</v>
      </c>
      <c r="E3" s="130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17169</v>
      </c>
      <c r="C11" s="47">
        <v>15937</v>
      </c>
      <c r="D11" s="21">
        <f aca="true" t="shared" si="0" ref="D11:D22">IF(C11="","",C11-B11)</f>
        <v>-1232</v>
      </c>
      <c r="E11" s="71">
        <f aca="true" t="shared" si="1" ref="E11:E23">IF(D11="","",D11/B11)</f>
        <v>-0.07175723688042401</v>
      </c>
      <c r="F11" s="38">
        <v>12173</v>
      </c>
      <c r="G11" s="47">
        <v>10318</v>
      </c>
      <c r="H11" s="21">
        <f aca="true" t="shared" si="2" ref="H11:H22">IF(G11="","",G11-F11)</f>
        <v>-1855</v>
      </c>
      <c r="I11" s="71">
        <f aca="true" t="shared" si="3" ref="I11:I23">IF(H11="","",H11/F11)</f>
        <v>-0.15238642898217367</v>
      </c>
      <c r="J11" s="38">
        <v>9311</v>
      </c>
      <c r="K11" s="47">
        <v>10824</v>
      </c>
      <c r="L11" s="21">
        <f aca="true" t="shared" si="4" ref="L11:L22">IF(K11="","",K11-J11)</f>
        <v>1513</v>
      </c>
      <c r="M11" s="71">
        <f aca="true" t="shared" si="5" ref="M11:M23">IF(L11="","",L11/J11)</f>
        <v>0.1624959725056385</v>
      </c>
      <c r="N11" s="38">
        <f>SUM(B11,F11,J11)</f>
        <v>38653</v>
      </c>
      <c r="O11" s="34">
        <f aca="true" t="shared" si="6" ref="O11:O22">IF(C11="","",SUM(C11,G11,K11))</f>
        <v>37079</v>
      </c>
      <c r="P11" s="21">
        <f aca="true" t="shared" si="7" ref="P11:P22">IF(O11="","",O11-N11)</f>
        <v>-1574</v>
      </c>
      <c r="Q11" s="71">
        <f aca="true" t="shared" si="8" ref="Q11:Q23">IF(P11="","",P11/N11)</f>
        <v>-0.040721289421260964</v>
      </c>
    </row>
    <row r="12" spans="1:17" ht="11.25" customHeight="1">
      <c r="A12" s="20" t="s">
        <v>7</v>
      </c>
      <c r="B12" s="38">
        <v>17594</v>
      </c>
      <c r="C12" s="47">
        <v>15045</v>
      </c>
      <c r="D12" s="21">
        <f t="shared" si="0"/>
        <v>-2549</v>
      </c>
      <c r="E12" s="71">
        <f t="shared" si="1"/>
        <v>-0.1448789360009094</v>
      </c>
      <c r="F12" s="38">
        <v>12722</v>
      </c>
      <c r="G12" s="47">
        <v>9938</v>
      </c>
      <c r="H12" s="21">
        <f t="shared" si="2"/>
        <v>-2784</v>
      </c>
      <c r="I12" s="71">
        <f t="shared" si="3"/>
        <v>-0.21883351674265053</v>
      </c>
      <c r="J12" s="38">
        <v>9695</v>
      </c>
      <c r="K12" s="47">
        <v>15925</v>
      </c>
      <c r="L12" s="21">
        <f t="shared" si="4"/>
        <v>6230</v>
      </c>
      <c r="M12" s="71">
        <f t="shared" si="5"/>
        <v>0.6425992779783394</v>
      </c>
      <c r="N12" s="38">
        <f aca="true" t="shared" si="9" ref="N12:N22">SUM(B12,F12,J12)</f>
        <v>40011</v>
      </c>
      <c r="O12" s="34">
        <f t="shared" si="6"/>
        <v>40908</v>
      </c>
      <c r="P12" s="21">
        <f t="shared" si="7"/>
        <v>897</v>
      </c>
      <c r="Q12" s="71">
        <f t="shared" si="8"/>
        <v>0.022418834820424383</v>
      </c>
    </row>
    <row r="13" spans="1:17" ht="11.25" customHeight="1">
      <c r="A13" s="27" t="s">
        <v>8</v>
      </c>
      <c r="B13" s="40">
        <v>19778</v>
      </c>
      <c r="C13" s="48">
        <v>17162</v>
      </c>
      <c r="D13" s="22">
        <f t="shared" si="0"/>
        <v>-2616</v>
      </c>
      <c r="E13" s="72">
        <f t="shared" si="1"/>
        <v>-0.13226817676205885</v>
      </c>
      <c r="F13" s="40">
        <v>13841</v>
      </c>
      <c r="G13" s="48">
        <v>11009</v>
      </c>
      <c r="H13" s="22">
        <f t="shared" si="2"/>
        <v>-2832</v>
      </c>
      <c r="I13" s="72">
        <f t="shared" si="3"/>
        <v>-0.20460949353370422</v>
      </c>
      <c r="J13" s="40">
        <v>12063</v>
      </c>
      <c r="K13" s="48">
        <v>11665</v>
      </c>
      <c r="L13" s="22">
        <f t="shared" si="4"/>
        <v>-398</v>
      </c>
      <c r="M13" s="72">
        <f t="shared" si="5"/>
        <v>-0.03299345104866119</v>
      </c>
      <c r="N13" s="40">
        <f t="shared" si="9"/>
        <v>45682</v>
      </c>
      <c r="O13" s="35">
        <f t="shared" si="6"/>
        <v>39836</v>
      </c>
      <c r="P13" s="22">
        <f t="shared" si="7"/>
        <v>-5846</v>
      </c>
      <c r="Q13" s="72">
        <f t="shared" si="8"/>
        <v>-0.12797162996366185</v>
      </c>
    </row>
    <row r="14" spans="1:17" ht="11.25" customHeight="1">
      <c r="A14" s="20" t="s">
        <v>9</v>
      </c>
      <c r="B14" s="38">
        <v>17275</v>
      </c>
      <c r="C14" s="47"/>
      <c r="D14" s="21">
        <f t="shared" si="0"/>
      </c>
      <c r="E14" s="71">
        <f t="shared" si="1"/>
      </c>
      <c r="F14" s="38">
        <v>10911</v>
      </c>
      <c r="G14" s="47"/>
      <c r="H14" s="21">
        <f t="shared" si="2"/>
      </c>
      <c r="I14" s="71">
        <f t="shared" si="3"/>
      </c>
      <c r="J14" s="38">
        <v>8386</v>
      </c>
      <c r="K14" s="47"/>
      <c r="L14" s="21">
        <f t="shared" si="4"/>
      </c>
      <c r="M14" s="71">
        <f t="shared" si="5"/>
      </c>
      <c r="N14" s="38">
        <f t="shared" si="9"/>
        <v>36572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v>16311</v>
      </c>
      <c r="C15" s="47"/>
      <c r="D15" s="21">
        <f t="shared" si="0"/>
      </c>
      <c r="E15" s="71">
        <f t="shared" si="1"/>
      </c>
      <c r="F15" s="38">
        <v>12055</v>
      </c>
      <c r="G15" s="47"/>
      <c r="H15" s="21">
        <f t="shared" si="2"/>
      </c>
      <c r="I15" s="71">
        <f t="shared" si="3"/>
      </c>
      <c r="J15" s="38">
        <v>11430</v>
      </c>
      <c r="K15" s="47"/>
      <c r="L15" s="21">
        <f t="shared" si="4"/>
      </c>
      <c r="M15" s="71">
        <f t="shared" si="5"/>
      </c>
      <c r="N15" s="38">
        <f t="shared" si="9"/>
        <v>39796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7" t="s">
        <v>11</v>
      </c>
      <c r="B16" s="40">
        <v>16227</v>
      </c>
      <c r="C16" s="48"/>
      <c r="D16" s="22">
        <f t="shared" si="0"/>
      </c>
      <c r="E16" s="72">
        <f t="shared" si="1"/>
      </c>
      <c r="F16" s="40">
        <v>13297</v>
      </c>
      <c r="G16" s="48"/>
      <c r="H16" s="22">
        <f t="shared" si="2"/>
      </c>
      <c r="I16" s="72">
        <f t="shared" si="3"/>
      </c>
      <c r="J16" s="40">
        <v>10884</v>
      </c>
      <c r="K16" s="48"/>
      <c r="L16" s="22">
        <f t="shared" si="4"/>
      </c>
      <c r="M16" s="72">
        <f t="shared" si="5"/>
      </c>
      <c r="N16" s="40">
        <f t="shared" si="9"/>
        <v>40408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v>17268</v>
      </c>
      <c r="C17" s="47"/>
      <c r="D17" s="21">
        <f t="shared" si="0"/>
      </c>
      <c r="E17" s="71">
        <f t="shared" si="1"/>
      </c>
      <c r="F17" s="38">
        <v>11809</v>
      </c>
      <c r="G17" s="47"/>
      <c r="H17" s="21">
        <f t="shared" si="2"/>
      </c>
      <c r="I17" s="71">
        <f t="shared" si="3"/>
      </c>
      <c r="J17" s="38">
        <v>13351</v>
      </c>
      <c r="K17" s="47"/>
      <c r="L17" s="21">
        <f t="shared" si="4"/>
      </c>
      <c r="M17" s="71">
        <f t="shared" si="5"/>
      </c>
      <c r="N17" s="38">
        <f t="shared" si="9"/>
        <v>42428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v>16827</v>
      </c>
      <c r="C18" s="47"/>
      <c r="D18" s="21">
        <f t="shared" si="0"/>
      </c>
      <c r="E18" s="71">
        <f t="shared" si="1"/>
      </c>
      <c r="F18" s="38">
        <v>9797</v>
      </c>
      <c r="G18" s="47"/>
      <c r="H18" s="21">
        <f t="shared" si="2"/>
      </c>
      <c r="I18" s="71">
        <f t="shared" si="3"/>
      </c>
      <c r="J18" s="38">
        <v>10414</v>
      </c>
      <c r="K18" s="47"/>
      <c r="L18" s="21">
        <f t="shared" si="4"/>
      </c>
      <c r="M18" s="71">
        <f t="shared" si="5"/>
      </c>
      <c r="N18" s="38">
        <f t="shared" si="9"/>
        <v>37038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7" t="s">
        <v>14</v>
      </c>
      <c r="B19" s="40">
        <v>16181</v>
      </c>
      <c r="C19" s="48"/>
      <c r="D19" s="22">
        <f t="shared" si="0"/>
      </c>
      <c r="E19" s="72">
        <f t="shared" si="1"/>
      </c>
      <c r="F19" s="40">
        <v>11114</v>
      </c>
      <c r="G19" s="48"/>
      <c r="H19" s="22">
        <f t="shared" si="2"/>
      </c>
      <c r="I19" s="72">
        <f t="shared" si="3"/>
      </c>
      <c r="J19" s="40">
        <v>12761</v>
      </c>
      <c r="K19" s="48"/>
      <c r="L19" s="22">
        <f t="shared" si="4"/>
      </c>
      <c r="M19" s="72">
        <f t="shared" si="5"/>
      </c>
      <c r="N19" s="40">
        <f t="shared" si="9"/>
        <v>40056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v>17752</v>
      </c>
      <c r="C20" s="47"/>
      <c r="D20" s="21">
        <f t="shared" si="0"/>
      </c>
      <c r="E20" s="71">
        <f t="shared" si="1"/>
      </c>
      <c r="F20" s="38">
        <v>10993</v>
      </c>
      <c r="G20" s="47"/>
      <c r="H20" s="21">
        <f t="shared" si="2"/>
      </c>
      <c r="I20" s="71">
        <f t="shared" si="3"/>
      </c>
      <c r="J20" s="38">
        <v>17832</v>
      </c>
      <c r="K20" s="47"/>
      <c r="L20" s="21">
        <f t="shared" si="4"/>
      </c>
      <c r="M20" s="71">
        <f t="shared" si="5"/>
      </c>
      <c r="N20" s="38">
        <f t="shared" si="9"/>
        <v>46577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v>17690</v>
      </c>
      <c r="C21" s="47"/>
      <c r="D21" s="21">
        <f t="shared" si="0"/>
      </c>
      <c r="E21" s="71">
        <f t="shared" si="1"/>
      </c>
      <c r="F21" s="38">
        <v>10757</v>
      </c>
      <c r="G21" s="47"/>
      <c r="H21" s="21">
        <f t="shared" si="2"/>
      </c>
      <c r="I21" s="71">
        <f t="shared" si="3"/>
      </c>
      <c r="J21" s="38">
        <v>14985</v>
      </c>
      <c r="K21" s="47"/>
      <c r="L21" s="21">
        <f t="shared" si="4"/>
      </c>
      <c r="M21" s="71">
        <f t="shared" si="5"/>
      </c>
      <c r="N21" s="38">
        <f t="shared" si="9"/>
        <v>43432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v>12505</v>
      </c>
      <c r="C22" s="49"/>
      <c r="D22" s="21">
        <f t="shared" si="0"/>
      </c>
      <c r="E22" s="57">
        <f t="shared" si="1"/>
      </c>
      <c r="F22" s="39">
        <v>8158</v>
      </c>
      <c r="G22" s="49"/>
      <c r="H22" s="21">
        <f t="shared" si="2"/>
      </c>
      <c r="I22" s="57">
        <f t="shared" si="3"/>
      </c>
      <c r="J22" s="39">
        <v>9362</v>
      </c>
      <c r="K22" s="49"/>
      <c r="L22" s="21">
        <f t="shared" si="4"/>
      </c>
      <c r="M22" s="57">
        <f t="shared" si="5"/>
      </c>
      <c r="N22" s="39">
        <f t="shared" si="9"/>
        <v>30025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54541</v>
      </c>
      <c r="C23" s="42">
        <f>IF(C11="","",SUM(C11:C22))</f>
        <v>48144</v>
      </c>
      <c r="D23" s="43">
        <f>IF(D11="","",SUM(D11:D22))</f>
        <v>-6397</v>
      </c>
      <c r="E23" s="64">
        <f t="shared" si="1"/>
        <v>-0.1172879118461341</v>
      </c>
      <c r="F23" s="41">
        <f>IF(G24&lt;7,F24,F25)</f>
        <v>38736</v>
      </c>
      <c r="G23" s="42">
        <f>IF(G11="","",SUM(G11:G22))</f>
        <v>31265</v>
      </c>
      <c r="H23" s="43">
        <f>IF(H11="","",SUM(H11:H22))</f>
        <v>-7471</v>
      </c>
      <c r="I23" s="64">
        <f t="shared" si="3"/>
        <v>-0.1928696819496076</v>
      </c>
      <c r="J23" s="41">
        <f>IF(K24&lt;7,J24,J25)</f>
        <v>31069</v>
      </c>
      <c r="K23" s="42">
        <f>IF(K11="","",SUM(K11:K22))</f>
        <v>38414</v>
      </c>
      <c r="L23" s="43">
        <f>IF(L11="","",SUM(L11:L22))</f>
        <v>7345</v>
      </c>
      <c r="M23" s="64">
        <f t="shared" si="5"/>
        <v>0.23640928256461424</v>
      </c>
      <c r="N23" s="41">
        <f>IF(O24&lt;7,N24,N25)</f>
        <v>124346</v>
      </c>
      <c r="O23" s="42">
        <f>IF(O11="","",SUM(O11:O22))</f>
        <v>117823</v>
      </c>
      <c r="P23" s="43">
        <f>IF(P11="","",SUM(P11:P22))</f>
        <v>-6523</v>
      </c>
      <c r="Q23" s="64">
        <f t="shared" si="8"/>
        <v>-0.052458462676724625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54541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38736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31069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124346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202577</v>
      </c>
      <c r="F25" s="92">
        <f>IF(G24=7,SUM(F11:F17),IF(G24=8,SUM(F11:F18),IF(G24=9,SUM(F11:F19),IF(G24=10,SUM(F11:F20),IF(G24=11,SUM(F11:F21),SUM(F11:F22))))))</f>
        <v>137627</v>
      </c>
      <c r="J25" s="92">
        <f>IF(K24=7,SUM(J11:J17),IF(K24=8,SUM(J11:J18),IF(K24=9,SUM(J11:J19),IF(K24=10,SUM(J11:J20),IF(K24=11,SUM(J11:J21),SUM(J11:J22))))))</f>
        <v>140474</v>
      </c>
      <c r="N25" s="92">
        <f>IF(O24=7,SUM(N11:N17),IF(O24=8,SUM(N11:N18),IF(O24=9,SUM(N11:N19),IF(O24=10,SUM(N11:N20),IF(O24=11,SUM(N11:N21),SUM(N11:N22))))))</f>
        <v>480678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>IF(C11="","",B11/$R31)</f>
        <v>780.4090909090909</v>
      </c>
      <c r="C31" s="81">
        <f>IF(C11="","",C11/$S31)</f>
        <v>724.4090909090909</v>
      </c>
      <c r="D31" s="77">
        <f>IF(C31="","",C31-B31)</f>
        <v>-56</v>
      </c>
      <c r="E31" s="73">
        <f>IF(C31="","",(C31-B31)/ABS(B31))</f>
        <v>-0.07175723688042403</v>
      </c>
      <c r="F31" s="78">
        <f>IF(G11="","",F11/$R31)</f>
        <v>553.3181818181819</v>
      </c>
      <c r="G31" s="81">
        <f>IF(G11="","",G11/$S31)</f>
        <v>469</v>
      </c>
      <c r="H31" s="97">
        <f>IF(G31="","",G31-F31)</f>
        <v>-84.31818181818187</v>
      </c>
      <c r="I31" s="73">
        <f>IF(G31="","",(G31-F31)/ABS(F31))</f>
        <v>-0.15238642898217375</v>
      </c>
      <c r="J31" s="78">
        <f>IF(K11="","",J11/$R31)</f>
        <v>423.22727272727275</v>
      </c>
      <c r="K31" s="81">
        <f>IF(K11="","",K11/$S31)</f>
        <v>492</v>
      </c>
      <c r="L31" s="97">
        <f>IF(K31="","",K31-J31)</f>
        <v>68.77272727272725</v>
      </c>
      <c r="M31" s="73">
        <f>IF(K31="","",(K31-J31)/ABS(J31))</f>
        <v>0.16249597250563844</v>
      </c>
      <c r="N31" s="78">
        <f>IF(O11="","",N11/$R31)</f>
        <v>1756.9545454545455</v>
      </c>
      <c r="O31" s="81">
        <f>IF(O11="","",O11/$S31)</f>
        <v>1685.409090909091</v>
      </c>
      <c r="P31" s="97">
        <f>IF(O31="","",O31-N31)</f>
        <v>-71.5454545454545</v>
      </c>
      <c r="Q31" s="71">
        <f>IF(O31="","",(O31-N31)/ABS(N31))</f>
        <v>-0.04072128942126094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aca="true" t="shared" si="10" ref="B32:B42">IF(C12="","",B12/$R32)</f>
        <v>837.8095238095239</v>
      </c>
      <c r="C32" s="81">
        <f aca="true" t="shared" si="11" ref="C32:C42">IF(C12="","",C12/$S32)</f>
        <v>752.25</v>
      </c>
      <c r="D32" s="77">
        <f aca="true" t="shared" si="12" ref="D32:D42">IF(C32="","",C32-B32)</f>
        <v>-85.55952380952385</v>
      </c>
      <c r="E32" s="73">
        <f aca="true" t="shared" si="13" ref="E32:E43">IF(C32="","",(C32-B32)/ABS(B32))</f>
        <v>-0.10212288280095491</v>
      </c>
      <c r="F32" s="78">
        <f aca="true" t="shared" si="14" ref="F32:F42">IF(G12="","",F12/$R32)</f>
        <v>605.8095238095239</v>
      </c>
      <c r="G32" s="81">
        <f aca="true" t="shared" si="15" ref="G32:G42">IF(G12="","",G12/$S32)</f>
        <v>496.9</v>
      </c>
      <c r="H32" s="97">
        <f aca="true" t="shared" si="16" ref="H32:H42">IF(G32="","",G32-F32)</f>
        <v>-108.90952380952388</v>
      </c>
      <c r="I32" s="73">
        <f aca="true" t="shared" si="17" ref="I32:I43">IF(G32="","",(G32-F32)/ABS(F32))</f>
        <v>-0.17977519257978314</v>
      </c>
      <c r="J32" s="78">
        <f aca="true" t="shared" si="18" ref="J32:J42">IF(K12="","",J12/$R32)</f>
        <v>461.6666666666667</v>
      </c>
      <c r="K32" s="81">
        <f aca="true" t="shared" si="19" ref="K32:K42">IF(K12="","",K12/$S32)</f>
        <v>796.25</v>
      </c>
      <c r="L32" s="97">
        <f aca="true" t="shared" si="20" ref="L32:L42">IF(K32="","",K32-J32)</f>
        <v>334.5833333333333</v>
      </c>
      <c r="M32" s="73">
        <f aca="true" t="shared" si="21" ref="M32:M43">IF(K32="","",(K32-J32)/ABS(J32))</f>
        <v>0.7247292418772563</v>
      </c>
      <c r="N32" s="78">
        <f aca="true" t="shared" si="22" ref="N32:N42">IF(O12="","",N12/$R32)</f>
        <v>1905.2857142857142</v>
      </c>
      <c r="O32" s="81">
        <f aca="true" t="shared" si="23" ref="O32:O42">IF(O12="","",O12/$S32)</f>
        <v>2045.4</v>
      </c>
      <c r="P32" s="97">
        <f aca="true" t="shared" si="24" ref="P32:P42">IF(O32="","",O32-N32)</f>
        <v>140.11428571428587</v>
      </c>
      <c r="Q32" s="71">
        <f aca="true" t="shared" si="25" ref="Q32:Q43">IF(O32="","",(O32-N32)/ABS(N32))</f>
        <v>0.07353977656144568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899</v>
      </c>
      <c r="C33" s="82">
        <f t="shared" si="11"/>
        <v>858.1</v>
      </c>
      <c r="D33" s="84">
        <f t="shared" si="12"/>
        <v>-40.89999999999998</v>
      </c>
      <c r="E33" s="74">
        <f t="shared" si="13"/>
        <v>-0.04549499443826471</v>
      </c>
      <c r="F33" s="79">
        <f t="shared" si="14"/>
        <v>629.1363636363636</v>
      </c>
      <c r="G33" s="82">
        <f t="shared" si="15"/>
        <v>550.45</v>
      </c>
      <c r="H33" s="98">
        <f t="shared" si="16"/>
        <v>-78.68636363636358</v>
      </c>
      <c r="I33" s="74">
        <f t="shared" si="17"/>
        <v>-0.12507044288707456</v>
      </c>
      <c r="J33" s="79">
        <f t="shared" si="18"/>
        <v>548.3181818181819</v>
      </c>
      <c r="K33" s="82">
        <f t="shared" si="19"/>
        <v>583.25</v>
      </c>
      <c r="L33" s="98">
        <f t="shared" si="20"/>
        <v>34.93181818181813</v>
      </c>
      <c r="M33" s="74">
        <f t="shared" si="21"/>
        <v>0.06370720384647259</v>
      </c>
      <c r="N33" s="79">
        <f t="shared" si="22"/>
        <v>2076.4545454545455</v>
      </c>
      <c r="O33" s="82">
        <f t="shared" si="23"/>
        <v>1991.8</v>
      </c>
      <c r="P33" s="98">
        <f t="shared" si="24"/>
        <v>-84.65454545454554</v>
      </c>
      <c r="Q33" s="72">
        <f t="shared" si="25"/>
        <v>-0.04076879296002806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AVERAGE(B31:B42)</f>
        <v>839.0728715728716</v>
      </c>
      <c r="C43" s="83">
        <f>IF(C11="","",AVERAGE(C31:C42))</f>
        <v>778.2530303030303</v>
      </c>
      <c r="D43" s="75">
        <f>IF(D31="","",AVERAGE(D31:D42))</f>
        <v>-60.81984126984128</v>
      </c>
      <c r="E43" s="65">
        <f t="shared" si="13"/>
        <v>-0.07248457592942117</v>
      </c>
      <c r="F43" s="80">
        <f>AVERAGE(F31:F42)</f>
        <v>596.0880230880231</v>
      </c>
      <c r="G43" s="83">
        <f>IF(G11="","",AVERAGE(G31:G42))</f>
        <v>505.45</v>
      </c>
      <c r="H43" s="99">
        <f>IF(H31="","",AVERAGE(H31:H42))</f>
        <v>-90.6380230880231</v>
      </c>
      <c r="I43" s="65">
        <f t="shared" si="17"/>
        <v>-0.15205476301717064</v>
      </c>
      <c r="J43" s="80">
        <f>AVERAGE(J31:J42)</f>
        <v>477.73737373737384</v>
      </c>
      <c r="K43" s="83">
        <f>IF(K11="","",AVERAGE(K31:K42))</f>
        <v>623.8333333333334</v>
      </c>
      <c r="L43" s="99">
        <f>IF(L31="","",AVERAGE(L31:L42))</f>
        <v>146.09595959595956</v>
      </c>
      <c r="M43" s="65">
        <f t="shared" si="21"/>
        <v>0.30580810216508775</v>
      </c>
      <c r="N43" s="80">
        <f>AVERAGE(N31:N42)</f>
        <v>1912.8982683982686</v>
      </c>
      <c r="O43" s="83">
        <f>IF(O11="","",AVERAGE(O31:O42))</f>
        <v>1907.5363636363636</v>
      </c>
      <c r="P43" s="99">
        <f>IF(P31="","",AVERAGE(P31:P42))</f>
        <v>-5.361904761904725</v>
      </c>
      <c r="Q43" s="66">
        <f t="shared" si="25"/>
        <v>-0.0028030266169850465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29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H29:I29"/>
    <mergeCell ref="L29:M29"/>
    <mergeCell ref="J8:M8"/>
    <mergeCell ref="B8:E8"/>
    <mergeCell ref="H9:I9"/>
    <mergeCell ref="R30:S30"/>
    <mergeCell ref="P29:Q29"/>
    <mergeCell ref="P9:Q9"/>
    <mergeCell ref="F28:I28"/>
    <mergeCell ref="J28:M28"/>
    <mergeCell ref="D29:E29"/>
    <mergeCell ref="B2:E2"/>
    <mergeCell ref="D3:E3"/>
    <mergeCell ref="B3:C3"/>
    <mergeCell ref="B6:E7"/>
    <mergeCell ref="B28:E28"/>
    <mergeCell ref="N8:Q8"/>
    <mergeCell ref="D9:E9"/>
    <mergeCell ref="N28:Q28"/>
    <mergeCell ref="L9:M9"/>
    <mergeCell ref="F8:I8"/>
    <mergeCell ref="B26:E27"/>
  </mergeCells>
  <conditionalFormatting sqref="B13:B16 B18:B21 F13:F16 N18:N21 J13:J16 J18:J21 N13:N16 F18:F19 F21">
    <cfRule type="expression" priority="3" dxfId="2" stopIfTrue="1">
      <formula>C13=""</formula>
    </cfRule>
  </conditionalFormatting>
  <conditionalFormatting sqref="B17 F20 B22 F17 F12 F22 J17 J12 J22 N17 N12 N22">
    <cfRule type="expression" priority="4" dxfId="2" stopIfTrue="1">
      <formula>C12=""</formula>
    </cfRule>
  </conditionalFormatting>
  <conditionalFormatting sqref="B12">
    <cfRule type="expression" priority="5" dxfId="2" stopIfTrue="1">
      <formula>C12=""</formula>
    </cfRule>
  </conditionalFormatting>
  <conditionalFormatting sqref="R43:S43 S31:S42">
    <cfRule type="expression" priority="6" dxfId="1" stopIfTrue="1">
      <formula>R31&lt;$R31</formula>
    </cfRule>
    <cfRule type="expression" priority="7" dxfId="0" stopIfTrue="1">
      <formula>R31&gt;$R31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U60"/>
  <sheetViews>
    <sheetView showGridLines="0" zoomScalePageLayoutView="0" workbookViewId="0" topLeftCell="A4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1" t="s">
        <v>18</v>
      </c>
      <c r="B2" s="129" t="s">
        <v>35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5" t="s">
        <v>19</v>
      </c>
      <c r="E3" s="135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9988</v>
      </c>
      <c r="C11" s="47">
        <v>10080</v>
      </c>
      <c r="D11" s="21">
        <f>IF(OR(C11="",B11=0),"",C11-B11)</f>
        <v>92</v>
      </c>
      <c r="E11" s="71">
        <f aca="true" t="shared" si="0" ref="E11:E22">IF(D11="","",D11/B11)</f>
        <v>0.0092110532639167</v>
      </c>
      <c r="F11" s="38">
        <v>6828</v>
      </c>
      <c r="G11" s="47">
        <v>6536</v>
      </c>
      <c r="H11" s="21">
        <f>IF(OR(G11="",F11=0),"",G11-F11)</f>
        <v>-292</v>
      </c>
      <c r="I11" s="71">
        <f aca="true" t="shared" si="1" ref="I11:I22">IF(H11="","",H11/F11)</f>
        <v>-0.042765084944346804</v>
      </c>
      <c r="J11" s="38">
        <v>1067</v>
      </c>
      <c r="K11" s="47">
        <v>1520</v>
      </c>
      <c r="L11" s="21">
        <f>IF(OR(K11="",J11=0),"",K11-J11)</f>
        <v>453</v>
      </c>
      <c r="M11" s="71">
        <f aca="true" t="shared" si="2" ref="M11:M22">IF(L11="","",L11/J11)</f>
        <v>0.4245548266166823</v>
      </c>
      <c r="N11" s="38">
        <f aca="true" t="shared" si="3" ref="N11:N22">SUM(B11,F11,J11)</f>
        <v>17883</v>
      </c>
      <c r="O11" s="34">
        <f aca="true" t="shared" si="4" ref="O11:O22">IF(C11="","",SUM(C11,G11,K11))</f>
        <v>18136</v>
      </c>
      <c r="P11" s="21">
        <f>IF(OR(O11="",N11=0),"",O11-N11)</f>
        <v>253</v>
      </c>
      <c r="Q11" s="71">
        <f aca="true" t="shared" si="5" ref="Q11:Q22">IF(P11="","",P11/N11)</f>
        <v>0.01414751439915003</v>
      </c>
    </row>
    <row r="12" spans="1:17" ht="11.25" customHeight="1">
      <c r="A12" s="20" t="s">
        <v>7</v>
      </c>
      <c r="B12" s="38">
        <v>10938</v>
      </c>
      <c r="C12" s="47">
        <v>9779</v>
      </c>
      <c r="D12" s="21">
        <f aca="true" t="shared" si="6" ref="D12:D22">IF(OR(C12="",B12=0),"",C12-B12)</f>
        <v>-1159</v>
      </c>
      <c r="E12" s="71">
        <f t="shared" si="0"/>
        <v>-0.10596087036021211</v>
      </c>
      <c r="F12" s="38">
        <v>7660</v>
      </c>
      <c r="G12" s="47">
        <v>5814</v>
      </c>
      <c r="H12" s="21">
        <f aca="true" t="shared" si="7" ref="H12:H22">IF(OR(G12="",F12=0),"",G12-F12)</f>
        <v>-1846</v>
      </c>
      <c r="I12" s="71">
        <f t="shared" si="1"/>
        <v>-0.24099216710182766</v>
      </c>
      <c r="J12" s="38">
        <v>546</v>
      </c>
      <c r="K12" s="47">
        <v>638</v>
      </c>
      <c r="L12" s="21">
        <f aca="true" t="shared" si="8" ref="L12:L22">IF(OR(K12="",J12=0),"",K12-J12)</f>
        <v>92</v>
      </c>
      <c r="M12" s="71">
        <f t="shared" si="2"/>
        <v>0.1684981684981685</v>
      </c>
      <c r="N12" s="38">
        <f t="shared" si="3"/>
        <v>19144</v>
      </c>
      <c r="O12" s="34">
        <f t="shared" si="4"/>
        <v>16231</v>
      </c>
      <c r="P12" s="21">
        <f aca="true" t="shared" si="9" ref="P12:P22">IF(OR(O12="",N12=0),"",O12-N12)</f>
        <v>-2913</v>
      </c>
      <c r="Q12" s="71">
        <f t="shared" si="5"/>
        <v>-0.15216255745925616</v>
      </c>
    </row>
    <row r="13" spans="1:17" ht="11.25" customHeight="1">
      <c r="A13" s="27" t="s">
        <v>8</v>
      </c>
      <c r="B13" s="40">
        <v>12924</v>
      </c>
      <c r="C13" s="48">
        <v>10403</v>
      </c>
      <c r="D13" s="22">
        <f t="shared" si="6"/>
        <v>-2521</v>
      </c>
      <c r="E13" s="72">
        <f t="shared" si="0"/>
        <v>-0.19506344784896318</v>
      </c>
      <c r="F13" s="40">
        <v>7945</v>
      </c>
      <c r="G13" s="48">
        <v>6328</v>
      </c>
      <c r="H13" s="22">
        <f t="shared" si="7"/>
        <v>-1617</v>
      </c>
      <c r="I13" s="72">
        <f t="shared" si="1"/>
        <v>-0.20352422907488987</v>
      </c>
      <c r="J13" s="40">
        <v>1408</v>
      </c>
      <c r="K13" s="48">
        <v>433</v>
      </c>
      <c r="L13" s="22">
        <f t="shared" si="8"/>
        <v>-975</v>
      </c>
      <c r="M13" s="72">
        <f t="shared" si="2"/>
        <v>-0.6924715909090909</v>
      </c>
      <c r="N13" s="40">
        <f t="shared" si="3"/>
        <v>22277</v>
      </c>
      <c r="O13" s="35">
        <f t="shared" si="4"/>
        <v>17164</v>
      </c>
      <c r="P13" s="22">
        <f t="shared" si="9"/>
        <v>-5113</v>
      </c>
      <c r="Q13" s="72">
        <f t="shared" si="5"/>
        <v>-0.2295192350855142</v>
      </c>
    </row>
    <row r="14" spans="1:17" ht="11.25" customHeight="1">
      <c r="A14" s="20" t="s">
        <v>9</v>
      </c>
      <c r="B14" s="38">
        <v>10916</v>
      </c>
      <c r="C14" s="47"/>
      <c r="D14" s="21">
        <f t="shared" si="6"/>
      </c>
      <c r="E14" s="71">
        <f t="shared" si="0"/>
      </c>
      <c r="F14" s="38">
        <v>6558</v>
      </c>
      <c r="G14" s="47"/>
      <c r="H14" s="21">
        <f t="shared" si="7"/>
      </c>
      <c r="I14" s="71">
        <f t="shared" si="1"/>
      </c>
      <c r="J14" s="38">
        <v>1356</v>
      </c>
      <c r="K14" s="47"/>
      <c r="L14" s="21">
        <f t="shared" si="8"/>
      </c>
      <c r="M14" s="71">
        <f t="shared" si="2"/>
      </c>
      <c r="N14" s="38">
        <f t="shared" si="3"/>
        <v>18830</v>
      </c>
      <c r="O14" s="34">
        <f t="shared" si="4"/>
      </c>
      <c r="P14" s="21">
        <f t="shared" si="9"/>
      </c>
      <c r="Q14" s="71">
        <f t="shared" si="5"/>
      </c>
    </row>
    <row r="15" spans="1:17" ht="11.25" customHeight="1">
      <c r="A15" s="20" t="s">
        <v>10</v>
      </c>
      <c r="B15" s="38">
        <v>11879</v>
      </c>
      <c r="C15" s="47"/>
      <c r="D15" s="21">
        <f t="shared" si="6"/>
      </c>
      <c r="E15" s="71">
        <f t="shared" si="0"/>
      </c>
      <c r="F15" s="38">
        <v>7358</v>
      </c>
      <c r="G15" s="47"/>
      <c r="H15" s="21">
        <f t="shared" si="7"/>
      </c>
      <c r="I15" s="71">
        <f t="shared" si="1"/>
      </c>
      <c r="J15" s="38">
        <v>931</v>
      </c>
      <c r="K15" s="47"/>
      <c r="L15" s="21">
        <f t="shared" si="8"/>
      </c>
      <c r="M15" s="71">
        <f t="shared" si="2"/>
      </c>
      <c r="N15" s="38">
        <f t="shared" si="3"/>
        <v>20168</v>
      </c>
      <c r="O15" s="34">
        <f t="shared" si="4"/>
      </c>
      <c r="P15" s="21">
        <f t="shared" si="9"/>
      </c>
      <c r="Q15" s="71">
        <f t="shared" si="5"/>
      </c>
    </row>
    <row r="16" spans="1:17" ht="11.25" customHeight="1">
      <c r="A16" s="27" t="s">
        <v>11</v>
      </c>
      <c r="B16" s="40">
        <v>11826</v>
      </c>
      <c r="C16" s="48"/>
      <c r="D16" s="22">
        <f t="shared" si="6"/>
      </c>
      <c r="E16" s="72">
        <f t="shared" si="0"/>
      </c>
      <c r="F16" s="40">
        <v>6975</v>
      </c>
      <c r="G16" s="48"/>
      <c r="H16" s="22">
        <f t="shared" si="7"/>
      </c>
      <c r="I16" s="72">
        <f t="shared" si="1"/>
      </c>
      <c r="J16" s="40">
        <v>449</v>
      </c>
      <c r="K16" s="48"/>
      <c r="L16" s="22">
        <f t="shared" si="8"/>
      </c>
      <c r="M16" s="72">
        <f t="shared" si="2"/>
      </c>
      <c r="N16" s="40">
        <f t="shared" si="3"/>
        <v>19250</v>
      </c>
      <c r="O16" s="35">
        <f t="shared" si="4"/>
      </c>
      <c r="P16" s="22">
        <f t="shared" si="9"/>
      </c>
      <c r="Q16" s="72">
        <f t="shared" si="5"/>
      </c>
    </row>
    <row r="17" spans="1:17" ht="11.25" customHeight="1">
      <c r="A17" s="20" t="s">
        <v>12</v>
      </c>
      <c r="B17" s="38">
        <v>11823</v>
      </c>
      <c r="C17" s="47"/>
      <c r="D17" s="21">
        <f t="shared" si="6"/>
      </c>
      <c r="E17" s="71">
        <f t="shared" si="0"/>
      </c>
      <c r="F17" s="38">
        <v>7309</v>
      </c>
      <c r="G17" s="47"/>
      <c r="H17" s="21">
        <f t="shared" si="7"/>
      </c>
      <c r="I17" s="71">
        <f t="shared" si="1"/>
      </c>
      <c r="J17" s="38">
        <v>1000</v>
      </c>
      <c r="K17" s="47"/>
      <c r="L17" s="21">
        <f t="shared" si="8"/>
      </c>
      <c r="M17" s="71">
        <f t="shared" si="2"/>
      </c>
      <c r="N17" s="38">
        <f t="shared" si="3"/>
        <v>20132</v>
      </c>
      <c r="O17" s="34">
        <f t="shared" si="4"/>
      </c>
      <c r="P17" s="21">
        <f t="shared" si="9"/>
      </c>
      <c r="Q17" s="71">
        <f t="shared" si="5"/>
      </c>
    </row>
    <row r="18" spans="1:17" ht="11.25" customHeight="1">
      <c r="A18" s="20" t="s">
        <v>13</v>
      </c>
      <c r="B18" s="38">
        <v>11142</v>
      </c>
      <c r="C18" s="47"/>
      <c r="D18" s="21">
        <f t="shared" si="6"/>
      </c>
      <c r="E18" s="71">
        <f t="shared" si="0"/>
      </c>
      <c r="F18" s="38">
        <v>6135</v>
      </c>
      <c r="G18" s="47"/>
      <c r="H18" s="21">
        <f t="shared" si="7"/>
      </c>
      <c r="I18" s="71">
        <f t="shared" si="1"/>
      </c>
      <c r="J18" s="38">
        <v>929</v>
      </c>
      <c r="K18" s="47"/>
      <c r="L18" s="21">
        <f t="shared" si="8"/>
      </c>
      <c r="M18" s="71">
        <f t="shared" si="2"/>
      </c>
      <c r="N18" s="38">
        <f t="shared" si="3"/>
        <v>18206</v>
      </c>
      <c r="O18" s="34">
        <f t="shared" si="4"/>
      </c>
      <c r="P18" s="21">
        <f t="shared" si="9"/>
      </c>
      <c r="Q18" s="71">
        <f t="shared" si="5"/>
      </c>
    </row>
    <row r="19" spans="1:17" ht="11.25" customHeight="1">
      <c r="A19" s="27" t="s">
        <v>14</v>
      </c>
      <c r="B19" s="40">
        <v>10874</v>
      </c>
      <c r="C19" s="48"/>
      <c r="D19" s="22">
        <f t="shared" si="6"/>
      </c>
      <c r="E19" s="72">
        <f t="shared" si="0"/>
      </c>
      <c r="F19" s="40">
        <v>6638</v>
      </c>
      <c r="G19" s="48"/>
      <c r="H19" s="22">
        <f t="shared" si="7"/>
      </c>
      <c r="I19" s="72">
        <f t="shared" si="1"/>
      </c>
      <c r="J19" s="40">
        <v>824</v>
      </c>
      <c r="K19" s="48"/>
      <c r="L19" s="22">
        <f t="shared" si="8"/>
      </c>
      <c r="M19" s="72">
        <f t="shared" si="2"/>
      </c>
      <c r="N19" s="40">
        <f t="shared" si="3"/>
        <v>18336</v>
      </c>
      <c r="O19" s="35">
        <f t="shared" si="4"/>
      </c>
      <c r="P19" s="22">
        <f t="shared" si="9"/>
      </c>
      <c r="Q19" s="72">
        <f t="shared" si="5"/>
      </c>
    </row>
    <row r="20" spans="1:17" ht="11.25" customHeight="1">
      <c r="A20" s="20" t="s">
        <v>15</v>
      </c>
      <c r="B20" s="38">
        <v>12178</v>
      </c>
      <c r="C20" s="47"/>
      <c r="D20" s="21">
        <f t="shared" si="6"/>
      </c>
      <c r="E20" s="71">
        <f t="shared" si="0"/>
      </c>
      <c r="F20" s="38">
        <v>7226</v>
      </c>
      <c r="G20" s="47"/>
      <c r="H20" s="21">
        <f t="shared" si="7"/>
      </c>
      <c r="I20" s="71">
        <f t="shared" si="1"/>
      </c>
      <c r="J20" s="38">
        <v>874</v>
      </c>
      <c r="K20" s="47"/>
      <c r="L20" s="21">
        <f t="shared" si="8"/>
      </c>
      <c r="M20" s="71">
        <f t="shared" si="2"/>
      </c>
      <c r="N20" s="38">
        <f t="shared" si="3"/>
        <v>20278</v>
      </c>
      <c r="O20" s="34">
        <f t="shared" si="4"/>
      </c>
      <c r="P20" s="21">
        <f t="shared" si="9"/>
      </c>
      <c r="Q20" s="71">
        <f t="shared" si="5"/>
      </c>
    </row>
    <row r="21" spans="1:17" ht="11.25" customHeight="1">
      <c r="A21" s="20" t="s">
        <v>16</v>
      </c>
      <c r="B21" s="38">
        <v>11303</v>
      </c>
      <c r="C21" s="47"/>
      <c r="D21" s="21">
        <f t="shared" si="6"/>
      </c>
      <c r="E21" s="71">
        <f t="shared" si="0"/>
      </c>
      <c r="F21" s="38">
        <v>7029</v>
      </c>
      <c r="G21" s="47"/>
      <c r="H21" s="21">
        <f t="shared" si="7"/>
      </c>
      <c r="I21" s="71">
        <f t="shared" si="1"/>
      </c>
      <c r="J21" s="38">
        <v>1050</v>
      </c>
      <c r="K21" s="47"/>
      <c r="L21" s="21">
        <f t="shared" si="8"/>
      </c>
      <c r="M21" s="71">
        <f t="shared" si="2"/>
      </c>
      <c r="N21" s="38">
        <f t="shared" si="3"/>
        <v>19382</v>
      </c>
      <c r="O21" s="34">
        <f t="shared" si="4"/>
      </c>
      <c r="P21" s="21">
        <f t="shared" si="9"/>
      </c>
      <c r="Q21" s="71">
        <f t="shared" si="5"/>
      </c>
    </row>
    <row r="22" spans="1:17" ht="11.25" customHeight="1" thickBot="1">
      <c r="A22" s="23" t="s">
        <v>17</v>
      </c>
      <c r="B22" s="39">
        <v>8451</v>
      </c>
      <c r="C22" s="49"/>
      <c r="D22" s="21">
        <f t="shared" si="6"/>
      </c>
      <c r="E22" s="57">
        <f t="shared" si="0"/>
      </c>
      <c r="F22" s="39">
        <v>5390</v>
      </c>
      <c r="G22" s="49"/>
      <c r="H22" s="21">
        <f t="shared" si="7"/>
      </c>
      <c r="I22" s="57">
        <f t="shared" si="1"/>
      </c>
      <c r="J22" s="39">
        <v>820</v>
      </c>
      <c r="K22" s="49"/>
      <c r="L22" s="21">
        <f t="shared" si="8"/>
      </c>
      <c r="M22" s="57">
        <f t="shared" si="2"/>
      </c>
      <c r="N22" s="39">
        <f t="shared" si="3"/>
        <v>14661</v>
      </c>
      <c r="O22" s="36">
        <f t="shared" si="4"/>
      </c>
      <c r="P22" s="21">
        <f t="shared" si="9"/>
      </c>
      <c r="Q22" s="57">
        <f t="shared" si="5"/>
      </c>
    </row>
    <row r="23" spans="1:17" ht="11.25" customHeight="1" thickBot="1">
      <c r="A23" s="44" t="s">
        <v>3</v>
      </c>
      <c r="B23" s="41">
        <f>IF(C17="",B24,B25)</f>
        <v>33850</v>
      </c>
      <c r="C23" s="42">
        <f>IF(C11="","",SUM(C11:C22))</f>
        <v>30262</v>
      </c>
      <c r="D23" s="43">
        <f>IF(C11="","",SUM(D11:D22))</f>
        <v>-3588</v>
      </c>
      <c r="E23" s="64">
        <f>IF(OR(D23="",D23=0),"",D23/B23)</f>
        <v>-0.10599704579025111</v>
      </c>
      <c r="F23" s="41">
        <f>IF(G17="",F24,F25)</f>
        <v>22433</v>
      </c>
      <c r="G23" s="42">
        <f>IF(G11="","",SUM(G11:G22))</f>
        <v>18678</v>
      </c>
      <c r="H23" s="43">
        <f>IF(G11="","",SUM(H11:H22))</f>
        <v>-3755</v>
      </c>
      <c r="I23" s="64">
        <f>IF(OR(H23="",H23=0),"",H23/F23)</f>
        <v>-0.1673873311639103</v>
      </c>
      <c r="J23" s="41">
        <f>IF(K17="",J24,J25)</f>
        <v>3021</v>
      </c>
      <c r="K23" s="42">
        <f>IF(K11="","",SUM(K11:K22))</f>
        <v>2591</v>
      </c>
      <c r="L23" s="43">
        <f>IF(K11="","",SUM(L11:L22))</f>
        <v>-430</v>
      </c>
      <c r="M23" s="64">
        <f>IF(OR(L23="",L23=0),"",L23/J23)</f>
        <v>-0.14233697451175106</v>
      </c>
      <c r="N23" s="41">
        <f>IF(O17="",N24,N25)</f>
        <v>59304</v>
      </c>
      <c r="O23" s="42">
        <f>IF(O11="","",SUM(O11:O22))</f>
        <v>51531</v>
      </c>
      <c r="P23" s="43">
        <f>IF(O11="","",SUM(P11:P22))</f>
        <v>-7773</v>
      </c>
      <c r="Q23" s="64">
        <f>IF(OR(P23="",P23=0),"",P23/N23)</f>
        <v>-0.13107041683528936</v>
      </c>
    </row>
    <row r="24" spans="1:17" ht="11.25" customHeight="1">
      <c r="A24" s="89" t="s">
        <v>28</v>
      </c>
      <c r="B24" s="94">
        <f>IF(C16&lt;&gt;"",SUM(B11:B16),IF(C15&lt;&gt;"",SUM(B11:B15),IF(C14&lt;&gt;"",SUM(B11:B14),IF(C13&lt;&gt;"",SUM(B11:B13),IF(C12&lt;&gt;"",SUM(B11:B12),B11)))))</f>
        <v>33850</v>
      </c>
      <c r="C24" s="59">
        <f>COUNTIF(C11:C22,"&gt;0")</f>
        <v>3</v>
      </c>
      <c r="D24" s="59"/>
      <c r="E24" s="60"/>
      <c r="F24" s="94">
        <f>IF(G16&lt;&gt;"",SUM(F11:F16),IF(G15&lt;&gt;"",SUM(F11:F15),IF(G14&lt;&gt;"",SUM(F11:F14),IF(G13&lt;&gt;"",SUM(F11:F13),IF(G12&lt;&gt;"",SUM(F11:F12),F11)))))</f>
        <v>22433</v>
      </c>
      <c r="G24" s="59">
        <f>COUNTIF(G11:G22,"&gt;0")</f>
        <v>3</v>
      </c>
      <c r="H24" s="59"/>
      <c r="I24" s="60"/>
      <c r="J24" s="94">
        <f>IF(K16&lt;&gt;"",SUM(J11:J16),IF(K15&lt;&gt;"",SUM(J11:J15),IF(K14&lt;&gt;"",SUM(J11:J14),IF(K13&lt;&gt;"",SUM(J11:J13),IF(K12&lt;&gt;"",SUM(J11:J12),J11)))))</f>
        <v>3021</v>
      </c>
      <c r="K24" s="59">
        <f>COUNTIF(K11:K22,"&gt;0")</f>
        <v>3</v>
      </c>
      <c r="L24" s="59"/>
      <c r="M24" s="60"/>
      <c r="N24" s="94">
        <f>IF(O16&lt;&gt;"",SUM(N11:N16),IF(O15&lt;&gt;"",SUM(N11:N15),IF(O14&lt;&gt;"",SUM(N11:N14),IF(O13&lt;&gt;"",SUM(N11:N13),IF(O12&lt;&gt;"",SUM(N11:N12),N11)))))</f>
        <v>59304</v>
      </c>
      <c r="O24" s="59">
        <f>COUNTIF(O11:O22,"&gt;0")</f>
        <v>3</v>
      </c>
      <c r="P24" s="59"/>
      <c r="Q24" s="60"/>
    </row>
    <row r="25" spans="2:14" ht="11.25" customHeight="1">
      <c r="B25" s="92">
        <f>IF(C22&lt;&gt;"",SUM(B11:B22),IF(C21&lt;&gt;"",SUM(B11:B21),IF(C20&lt;&gt;"",SUM(B11:B20),IF(C19&lt;&gt;"",SUM(B11:B19),IF(C18&lt;&gt;"",SUM(B11:B18),SUM(B11:B17))))))</f>
        <v>80294</v>
      </c>
      <c r="F25" s="92">
        <f>IF(G22&lt;&gt;"",SUM(F11:F22),IF(G21&lt;&gt;"",SUM(F11:F21),IF(G20&lt;&gt;"",SUM(F11:F20),IF(G19&lt;&gt;"",SUM(F11:F19),IF(G18&lt;&gt;"",SUM(F11:F18),SUM(F11:F17))))))</f>
        <v>50633</v>
      </c>
      <c r="J25" s="92">
        <f>IF(K22&lt;&gt;"",SUM(J11:J22),IF(K21&lt;&gt;"",SUM(J11:J21),IF(K20&lt;&gt;"",SUM(J11:J20),IF(K19&lt;&gt;"",SUM(J11:J19),IF(K18&lt;&gt;"",SUM(J11:J18),SUM(J11:J17))))))</f>
        <v>6757</v>
      </c>
      <c r="N25" s="92">
        <f>IF(O22&lt;&gt;"",SUM(N11:N22),IF(O21&lt;&gt;"",SUM(N11:N21),IF(O20&lt;&gt;"",SUM(N11:N20),IF(O19&lt;&gt;"",SUM(N11:N19),IF(O18&lt;&gt;"",SUM(N11:N18),SUM(N11:N17))))))</f>
        <v>137684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 aca="true" t="shared" si="10" ref="B31:B42">IF(C11="","",B11/$R31)</f>
        <v>454</v>
      </c>
      <c r="C31" s="81">
        <f aca="true" t="shared" si="11" ref="C31:C42">IF(C11="","",C11/$S31)</f>
        <v>458.1818181818182</v>
      </c>
      <c r="D31" s="77">
        <f>IF(OR(C31="",B31=0),"",C31-B31)</f>
        <v>4.181818181818187</v>
      </c>
      <c r="E31" s="73">
        <f>IF(D31="","",(C31-B31)/ABS(B31))</f>
        <v>0.009211053263916712</v>
      </c>
      <c r="F31" s="78">
        <f aca="true" t="shared" si="12" ref="F31:F42">IF(G11="","",F11/$R31)</f>
        <v>310.3636363636364</v>
      </c>
      <c r="G31" s="81">
        <f aca="true" t="shared" si="13" ref="G31:G42">IF(G11="","",G11/$S31)</f>
        <v>297.09090909090907</v>
      </c>
      <c r="H31" s="77">
        <f>IF(OR(G31="",F31=0),"",G31-F31)</f>
        <v>-13.272727272727309</v>
      </c>
      <c r="I31" s="73">
        <f>IF(H31="","",(G31-F31)/ABS(F31))</f>
        <v>-0.04276508494434692</v>
      </c>
      <c r="J31" s="78">
        <f aca="true" t="shared" si="14" ref="J31:J42">IF(K11="","",J11/$R31)</f>
        <v>48.5</v>
      </c>
      <c r="K31" s="81">
        <f aca="true" t="shared" si="15" ref="K31:K42">IF(K11="","",K11/$S31)</f>
        <v>69.0909090909091</v>
      </c>
      <c r="L31" s="77">
        <f>IF(OR(K31="",J31=0),"",K31-J31)</f>
        <v>20.590909090909093</v>
      </c>
      <c r="M31" s="73">
        <f>IF(L31="","",(K31-J31)/ABS(J31))</f>
        <v>0.4245548266166823</v>
      </c>
      <c r="N31" s="78">
        <f aca="true" t="shared" si="16" ref="N31:N42">IF(O11="","",N11/$R31)</f>
        <v>812.8636363636364</v>
      </c>
      <c r="O31" s="81">
        <f aca="true" t="shared" si="17" ref="O31:O42">IF(O11="","",O11/$S31)</f>
        <v>824.3636363636364</v>
      </c>
      <c r="P31" s="77">
        <f>IF(OR(O31="",N31=0),"",O31-N31)</f>
        <v>11.5</v>
      </c>
      <c r="Q31" s="73">
        <f>IF(P31="","",(O31-N31)/ABS(N31))</f>
        <v>0.01414751439915003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520.8571428571429</v>
      </c>
      <c r="C32" s="81">
        <f t="shared" si="11"/>
        <v>488.95</v>
      </c>
      <c r="D32" s="77">
        <f aca="true" t="shared" si="18" ref="D32:D42">IF(OR(C32="",B32=0),"",C32-B32)</f>
        <v>-31.9071428571429</v>
      </c>
      <c r="E32" s="73">
        <f aca="true" t="shared" si="19" ref="E32:E42">IF(D32="","",(C32-B32)/ABS(B32))</f>
        <v>-0.06125891387822279</v>
      </c>
      <c r="F32" s="78">
        <f t="shared" si="12"/>
        <v>364.76190476190476</v>
      </c>
      <c r="G32" s="81">
        <f t="shared" si="13"/>
        <v>290.7</v>
      </c>
      <c r="H32" s="77">
        <f aca="true" t="shared" si="20" ref="H32:H42">IF(OR(G32="",F32=0),"",G32-F32)</f>
        <v>-74.06190476190477</v>
      </c>
      <c r="I32" s="73">
        <f aca="true" t="shared" si="21" ref="I32:I42">IF(H32="","",(G32-F32)/ABS(F32))</f>
        <v>-0.2030417754569191</v>
      </c>
      <c r="J32" s="78">
        <f t="shared" si="14"/>
        <v>26</v>
      </c>
      <c r="K32" s="81">
        <f t="shared" si="15"/>
        <v>31.9</v>
      </c>
      <c r="L32" s="77">
        <f aca="true" t="shared" si="22" ref="L32:L42">IF(OR(K32="",J32=0),"",K32-J32)</f>
        <v>5.899999999999999</v>
      </c>
      <c r="M32" s="73">
        <f aca="true" t="shared" si="23" ref="M32:M42">IF(L32="","",(K32-J32)/ABS(J32))</f>
        <v>0.22692307692307687</v>
      </c>
      <c r="N32" s="78">
        <f t="shared" si="16"/>
        <v>911.6190476190476</v>
      </c>
      <c r="O32" s="81">
        <f t="shared" si="17"/>
        <v>811.55</v>
      </c>
      <c r="P32" s="77">
        <f aca="true" t="shared" si="24" ref="P32:P42">IF(OR(O32="",N32=0),"",O32-N32)</f>
        <v>-100.06904761904764</v>
      </c>
      <c r="Q32" s="73">
        <f aca="true" t="shared" si="25" ref="Q32:Q42">IF(P32="","",(O32-N32)/ABS(N32))</f>
        <v>-0.109770685332219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587.4545454545455</v>
      </c>
      <c r="C33" s="82">
        <f t="shared" si="11"/>
        <v>520.15</v>
      </c>
      <c r="D33" s="84">
        <f t="shared" si="18"/>
        <v>-67.30454545454552</v>
      </c>
      <c r="E33" s="74">
        <f t="shared" si="19"/>
        <v>-0.1145697926338596</v>
      </c>
      <c r="F33" s="79">
        <f t="shared" si="12"/>
        <v>361.1363636363636</v>
      </c>
      <c r="G33" s="82">
        <f t="shared" si="13"/>
        <v>316.4</v>
      </c>
      <c r="H33" s="84">
        <f t="shared" si="20"/>
        <v>-44.73636363636365</v>
      </c>
      <c r="I33" s="74">
        <f t="shared" si="21"/>
        <v>-0.12387665198237889</v>
      </c>
      <c r="J33" s="79">
        <f t="shared" si="14"/>
        <v>64</v>
      </c>
      <c r="K33" s="82">
        <f t="shared" si="15"/>
        <v>21.65</v>
      </c>
      <c r="L33" s="84">
        <f t="shared" si="22"/>
        <v>-42.35</v>
      </c>
      <c r="M33" s="74">
        <f t="shared" si="23"/>
        <v>-0.66171875</v>
      </c>
      <c r="N33" s="79">
        <f t="shared" si="16"/>
        <v>1012.5909090909091</v>
      </c>
      <c r="O33" s="82">
        <f t="shared" si="17"/>
        <v>858.2</v>
      </c>
      <c r="P33" s="84">
        <f t="shared" si="24"/>
        <v>-154.39090909090908</v>
      </c>
      <c r="Q33" s="74">
        <f t="shared" si="25"/>
        <v>-0.1524711585940656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8"/>
      </c>
      <c r="E34" s="73">
        <f t="shared" si="19"/>
      </c>
      <c r="F34" s="78">
        <f t="shared" si="12"/>
      </c>
      <c r="G34" s="81">
        <f t="shared" si="13"/>
      </c>
      <c r="H34" s="77">
        <f t="shared" si="20"/>
      </c>
      <c r="I34" s="73">
        <f t="shared" si="21"/>
      </c>
      <c r="J34" s="78">
        <f t="shared" si="14"/>
      </c>
      <c r="K34" s="81">
        <f t="shared" si="15"/>
      </c>
      <c r="L34" s="77">
        <f t="shared" si="22"/>
      </c>
      <c r="M34" s="73">
        <f t="shared" si="23"/>
      </c>
      <c r="N34" s="78">
        <f t="shared" si="16"/>
      </c>
      <c r="O34" s="81">
        <f t="shared" si="17"/>
      </c>
      <c r="P34" s="77">
        <f t="shared" si="24"/>
      </c>
      <c r="Q34" s="73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8"/>
      </c>
      <c r="E35" s="73">
        <f t="shared" si="19"/>
      </c>
      <c r="F35" s="78">
        <f t="shared" si="12"/>
      </c>
      <c r="G35" s="81">
        <f t="shared" si="13"/>
      </c>
      <c r="H35" s="77">
        <f t="shared" si="20"/>
      </c>
      <c r="I35" s="73">
        <f t="shared" si="21"/>
      </c>
      <c r="J35" s="78">
        <f t="shared" si="14"/>
      </c>
      <c r="K35" s="81">
        <f t="shared" si="15"/>
      </c>
      <c r="L35" s="77">
        <f t="shared" si="22"/>
      </c>
      <c r="M35" s="73">
        <f t="shared" si="23"/>
      </c>
      <c r="N35" s="78">
        <f t="shared" si="16"/>
      </c>
      <c r="O35" s="81">
        <f t="shared" si="17"/>
      </c>
      <c r="P35" s="77">
        <f t="shared" si="24"/>
      </c>
      <c r="Q35" s="73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8"/>
      </c>
      <c r="E36" s="74">
        <f t="shared" si="19"/>
      </c>
      <c r="F36" s="79">
        <f t="shared" si="12"/>
      </c>
      <c r="G36" s="82">
        <f t="shared" si="13"/>
      </c>
      <c r="H36" s="84">
        <f t="shared" si="20"/>
      </c>
      <c r="I36" s="74">
        <f t="shared" si="21"/>
      </c>
      <c r="J36" s="79">
        <f t="shared" si="14"/>
      </c>
      <c r="K36" s="82">
        <f t="shared" si="15"/>
      </c>
      <c r="L36" s="84">
        <f t="shared" si="22"/>
      </c>
      <c r="M36" s="74">
        <f t="shared" si="23"/>
      </c>
      <c r="N36" s="79">
        <f t="shared" si="16"/>
      </c>
      <c r="O36" s="82">
        <f t="shared" si="17"/>
      </c>
      <c r="P36" s="84">
        <f t="shared" si="24"/>
      </c>
      <c r="Q36" s="74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8"/>
      </c>
      <c r="E37" s="73">
        <f t="shared" si="19"/>
      </c>
      <c r="F37" s="78">
        <f t="shared" si="12"/>
      </c>
      <c r="G37" s="81">
        <f t="shared" si="13"/>
      </c>
      <c r="H37" s="77">
        <f t="shared" si="20"/>
      </c>
      <c r="I37" s="73">
        <f t="shared" si="21"/>
      </c>
      <c r="J37" s="78">
        <f t="shared" si="14"/>
      </c>
      <c r="K37" s="81">
        <f t="shared" si="15"/>
      </c>
      <c r="L37" s="77">
        <f t="shared" si="22"/>
      </c>
      <c r="M37" s="73">
        <f t="shared" si="23"/>
      </c>
      <c r="N37" s="78">
        <f t="shared" si="16"/>
      </c>
      <c r="O37" s="81">
        <f t="shared" si="17"/>
      </c>
      <c r="P37" s="77">
        <f t="shared" si="24"/>
      </c>
      <c r="Q37" s="73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8"/>
      </c>
      <c r="E38" s="73">
        <f t="shared" si="19"/>
      </c>
      <c r="F38" s="78">
        <f t="shared" si="12"/>
      </c>
      <c r="G38" s="81">
        <f t="shared" si="13"/>
      </c>
      <c r="H38" s="77">
        <f t="shared" si="20"/>
      </c>
      <c r="I38" s="73">
        <f t="shared" si="21"/>
      </c>
      <c r="J38" s="78">
        <f t="shared" si="14"/>
      </c>
      <c r="K38" s="81">
        <f t="shared" si="15"/>
      </c>
      <c r="L38" s="77">
        <f t="shared" si="22"/>
      </c>
      <c r="M38" s="73">
        <f t="shared" si="23"/>
      </c>
      <c r="N38" s="78">
        <f t="shared" si="16"/>
      </c>
      <c r="O38" s="81">
        <f t="shared" si="17"/>
      </c>
      <c r="P38" s="77">
        <f t="shared" si="24"/>
      </c>
      <c r="Q38" s="73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8"/>
      </c>
      <c r="E39" s="74">
        <f t="shared" si="19"/>
      </c>
      <c r="F39" s="79">
        <f t="shared" si="12"/>
      </c>
      <c r="G39" s="82">
        <f t="shared" si="13"/>
      </c>
      <c r="H39" s="84">
        <f t="shared" si="20"/>
      </c>
      <c r="I39" s="74">
        <f t="shared" si="21"/>
      </c>
      <c r="J39" s="79">
        <f t="shared" si="14"/>
      </c>
      <c r="K39" s="82">
        <f t="shared" si="15"/>
      </c>
      <c r="L39" s="84">
        <f t="shared" si="22"/>
      </c>
      <c r="M39" s="74">
        <f t="shared" si="23"/>
      </c>
      <c r="N39" s="79">
        <f t="shared" si="16"/>
      </c>
      <c r="O39" s="82">
        <f t="shared" si="17"/>
      </c>
      <c r="P39" s="84">
        <f t="shared" si="24"/>
      </c>
      <c r="Q39" s="74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8"/>
      </c>
      <c r="E40" s="73">
        <f t="shared" si="19"/>
      </c>
      <c r="F40" s="78">
        <f t="shared" si="12"/>
      </c>
      <c r="G40" s="81">
        <f t="shared" si="13"/>
      </c>
      <c r="H40" s="77">
        <f t="shared" si="20"/>
      </c>
      <c r="I40" s="73">
        <f t="shared" si="21"/>
      </c>
      <c r="J40" s="78">
        <f t="shared" si="14"/>
      </c>
      <c r="K40" s="81">
        <f t="shared" si="15"/>
      </c>
      <c r="L40" s="77">
        <f t="shared" si="22"/>
      </c>
      <c r="M40" s="73">
        <f t="shared" si="23"/>
      </c>
      <c r="N40" s="78">
        <f t="shared" si="16"/>
      </c>
      <c r="O40" s="81">
        <f t="shared" si="17"/>
      </c>
      <c r="P40" s="77">
        <f t="shared" si="24"/>
      </c>
      <c r="Q40" s="73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8"/>
      </c>
      <c r="E41" s="73">
        <f t="shared" si="19"/>
      </c>
      <c r="F41" s="78">
        <f t="shared" si="12"/>
      </c>
      <c r="G41" s="81">
        <f t="shared" si="13"/>
      </c>
      <c r="H41" s="77">
        <f t="shared" si="20"/>
      </c>
      <c r="I41" s="73">
        <f t="shared" si="21"/>
      </c>
      <c r="J41" s="78">
        <f t="shared" si="14"/>
      </c>
      <c r="K41" s="81">
        <f t="shared" si="15"/>
      </c>
      <c r="L41" s="77">
        <f t="shared" si="22"/>
      </c>
      <c r="M41" s="73">
        <f t="shared" si="23"/>
      </c>
      <c r="N41" s="78">
        <f t="shared" si="16"/>
      </c>
      <c r="O41" s="81">
        <f t="shared" si="17"/>
      </c>
      <c r="P41" s="77">
        <f t="shared" si="24"/>
      </c>
      <c r="Q41" s="73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8"/>
      </c>
      <c r="E42" s="73">
        <f t="shared" si="19"/>
      </c>
      <c r="F42" s="78">
        <f t="shared" si="12"/>
      </c>
      <c r="G42" s="81">
        <f t="shared" si="13"/>
      </c>
      <c r="H42" s="77">
        <f t="shared" si="20"/>
      </c>
      <c r="I42" s="73">
        <f t="shared" si="21"/>
      </c>
      <c r="J42" s="78">
        <f t="shared" si="14"/>
      </c>
      <c r="K42" s="81">
        <f t="shared" si="15"/>
      </c>
      <c r="L42" s="77">
        <f t="shared" si="22"/>
      </c>
      <c r="M42" s="73">
        <f t="shared" si="23"/>
      </c>
      <c r="N42" s="78">
        <f t="shared" si="16"/>
      </c>
      <c r="O42" s="81">
        <f t="shared" si="17"/>
      </c>
      <c r="P42" s="77">
        <f t="shared" si="24"/>
      </c>
      <c r="Q42" s="73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IF(B23=0,"",SUM(B31:B42)/B44)</f>
        <v>520.7705627705628</v>
      </c>
      <c r="C43" s="83">
        <f>IF(OR(C23=0,C23=""),"",SUM(C31:C42)/C44)</f>
        <v>489.09393939393937</v>
      </c>
      <c r="D43" s="75">
        <f>IF(B23=0,"",AVERAGE(D31:D42))</f>
        <v>-31.67662337662341</v>
      </c>
      <c r="E43" s="65">
        <f>IF(B23=0,"",AVERAGE(E31:E42))</f>
        <v>-0.05553921774938856</v>
      </c>
      <c r="F43" s="80">
        <f>IF(F23=0,"",SUM(F31:F42)/F44)</f>
        <v>345.4206349206349</v>
      </c>
      <c r="G43" s="83">
        <f>IF(OR(G23=0,G23=""),"",SUM(G31:G42)/G44)</f>
        <v>301.3969696969697</v>
      </c>
      <c r="H43" s="75">
        <f>IF(F23=0,"",AVERAGE(H31:H42))</f>
        <v>-44.02366522366524</v>
      </c>
      <c r="I43" s="65">
        <f>IF(F23=0,"",AVERAGE(I31:I42))</f>
        <v>-0.12322783746121496</v>
      </c>
      <c r="J43" s="80">
        <f>IF(J23=0,"",SUM(J31:J42)/J44)</f>
        <v>46.166666666666664</v>
      </c>
      <c r="K43" s="83">
        <f>IF(OR(K23=0,K23=""),"",SUM(K31:K42)/K44)</f>
        <v>40.88030303030303</v>
      </c>
      <c r="L43" s="75">
        <f>IF(J23=0,"",AVERAGE(L31:L42))</f>
        <v>-5.286363636363636</v>
      </c>
      <c r="M43" s="65">
        <f>IF(J23=0,"",AVERAGE(M31:M42))</f>
        <v>-0.0034136154867469384</v>
      </c>
      <c r="N43" s="80">
        <f>IF(N23=0,"",SUM(N31:N42)/N44)</f>
        <v>912.3578643578644</v>
      </c>
      <c r="O43" s="83">
        <f>IF(OR(O23=0,O23=""),"",SUM(O31:O42)/O44)</f>
        <v>831.371212121212</v>
      </c>
      <c r="P43" s="75">
        <f>IF(N23=0,"",AVERAGE(P31:P42))</f>
        <v>-80.98665223665223</v>
      </c>
      <c r="Q43" s="65">
        <f>IF(N23=0,"",AVERAGE(Q31:Q42))</f>
        <v>-0.08269810984237819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>
        <f>COUNTIF(B31:B42,"&gt;0")</f>
        <v>3</v>
      </c>
      <c r="C44" s="61">
        <f>COUNTIF(C31:C42,"&gt;0")</f>
        <v>3</v>
      </c>
      <c r="D44" s="62"/>
      <c r="E44" s="63"/>
      <c r="F44" s="61">
        <f>COUNTIF(F31:F42,"&gt;0")</f>
        <v>3</v>
      </c>
      <c r="G44" s="61">
        <f>COUNTIF(G31:G42,"&gt;0")</f>
        <v>3</v>
      </c>
      <c r="H44" s="62"/>
      <c r="I44" s="63"/>
      <c r="J44" s="61">
        <f>COUNTIF(J31:J42,"&gt;0")</f>
        <v>3</v>
      </c>
      <c r="K44" s="61">
        <f>COUNTIF(K31:K42,"&gt;0")</f>
        <v>3</v>
      </c>
      <c r="L44" s="62"/>
      <c r="M44" s="63"/>
      <c r="N44" s="61">
        <f>COUNTIF(N31:N42,"&gt;0")</f>
        <v>3</v>
      </c>
      <c r="O44" s="61">
        <f>COUNTIF(O31:O42,"&gt;0")</f>
        <v>3</v>
      </c>
      <c r="P44" s="62"/>
      <c r="Q44" s="63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J8:M8"/>
    <mergeCell ref="N28:Q28"/>
    <mergeCell ref="B28:E28"/>
    <mergeCell ref="F28:I28"/>
    <mergeCell ref="J28:M28"/>
    <mergeCell ref="N8:Q8"/>
    <mergeCell ref="R30:S30"/>
    <mergeCell ref="D29:E29"/>
    <mergeCell ref="H29:I29"/>
    <mergeCell ref="L29:M29"/>
    <mergeCell ref="P29:Q29"/>
    <mergeCell ref="B8:E8"/>
    <mergeCell ref="H9:I9"/>
    <mergeCell ref="L9:M9"/>
    <mergeCell ref="P9:Q9"/>
    <mergeCell ref="B26:E27"/>
    <mergeCell ref="B2:E2"/>
    <mergeCell ref="D3:E3"/>
    <mergeCell ref="B6:E7"/>
    <mergeCell ref="D9:E9"/>
    <mergeCell ref="B3:C3"/>
    <mergeCell ref="F8:I8"/>
  </mergeCells>
  <conditionalFormatting sqref="B13:B16 B18:B21 F13:F16 F18:F21 J13:J16 J18:J21 N13:N16 N18:N21">
    <cfRule type="expression" priority="3" dxfId="2" stopIfTrue="1">
      <formula>C13=""</formula>
    </cfRule>
  </conditionalFormatting>
  <conditionalFormatting sqref="B17 N22 B22 F17 F12 F22 J17 J12 J22 N17 N12">
    <cfRule type="expression" priority="4" dxfId="2" stopIfTrue="1">
      <formula>C12=""</formula>
    </cfRule>
  </conditionalFormatting>
  <conditionalFormatting sqref="R43:S43 S31:S42">
    <cfRule type="expression" priority="5" dxfId="1" stopIfTrue="1">
      <formula>R31&lt;$R31</formula>
    </cfRule>
    <cfRule type="expression" priority="6" dxfId="0" stopIfTrue="1">
      <formula>R31&gt;$R31</formula>
    </cfRule>
  </conditionalFormatting>
  <conditionalFormatting sqref="B12">
    <cfRule type="expression" priority="7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U60"/>
  <sheetViews>
    <sheetView showGridLines="0" zoomScalePageLayoutView="0" workbookViewId="0" topLeftCell="A1">
      <selection activeCell="A5" sqref="A5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2" t="s">
        <v>18</v>
      </c>
      <c r="B2" s="129" t="s">
        <v>35</v>
      </c>
      <c r="C2" s="129"/>
      <c r="D2" s="129"/>
      <c r="E2" s="129"/>
      <c r="Q2" s="96"/>
    </row>
    <row r="3" spans="1:17" ht="13.5" customHeight="1">
      <c r="A3" s="1"/>
      <c r="B3" s="127" t="s">
        <v>20</v>
      </c>
      <c r="C3" s="127"/>
      <c r="D3" s="130" t="s">
        <v>25</v>
      </c>
      <c r="E3" s="130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/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v>6828</v>
      </c>
      <c r="C11" s="47">
        <v>7797</v>
      </c>
      <c r="D11" s="21">
        <f>IF(OR(C11="",B11=0),"",C11-B11)</f>
        <v>969</v>
      </c>
      <c r="E11" s="71">
        <f aca="true" t="shared" si="0" ref="E11:E22">IF(D11="","",D11/B11)</f>
        <v>0.14191564147627417</v>
      </c>
      <c r="F11" s="38">
        <v>5421</v>
      </c>
      <c r="G11" s="47">
        <v>6078</v>
      </c>
      <c r="H11" s="21">
        <f>IF(OR(G11="",F11=0),"",G11-F11)</f>
        <v>657</v>
      </c>
      <c r="I11" s="71">
        <f aca="true" t="shared" si="1" ref="I11:I22">IF(H11="","",H11/F11)</f>
        <v>0.12119535141117875</v>
      </c>
      <c r="J11" s="38">
        <v>6626</v>
      </c>
      <c r="K11" s="47">
        <v>7106</v>
      </c>
      <c r="L11" s="21">
        <f>IF(OR(K11="",J11=0),"",K11-J11)</f>
        <v>480</v>
      </c>
      <c r="M11" s="71">
        <f aca="true" t="shared" si="2" ref="M11:M22">IF(L11="","",L11/J11)</f>
        <v>0.0724418955629339</v>
      </c>
      <c r="N11" s="38">
        <f aca="true" t="shared" si="3" ref="N11:N22">SUM(B11,F11,J11)</f>
        <v>18875</v>
      </c>
      <c r="O11" s="34">
        <f aca="true" t="shared" si="4" ref="O11:O22">IF(C11="","",SUM(C11,G11,K11))</f>
        <v>20981</v>
      </c>
      <c r="P11" s="21">
        <f>IF(OR(O11="",N11=0),"",O11-N11)</f>
        <v>2106</v>
      </c>
      <c r="Q11" s="71">
        <f aca="true" t="shared" si="5" ref="Q11:Q22">IF(P11="","",P11/N11)</f>
        <v>0.11157615894039735</v>
      </c>
    </row>
    <row r="12" spans="1:17" ht="11.25" customHeight="1">
      <c r="A12" s="20" t="s">
        <v>7</v>
      </c>
      <c r="B12" s="38">
        <v>7393</v>
      </c>
      <c r="C12" s="47">
        <v>7587</v>
      </c>
      <c r="D12" s="21">
        <f aca="true" t="shared" si="6" ref="D12:D22">IF(OR(C12="",B12=0),"",C12-B12)</f>
        <v>194</v>
      </c>
      <c r="E12" s="71">
        <f t="shared" si="0"/>
        <v>0.026241038820505883</v>
      </c>
      <c r="F12" s="38">
        <v>6009</v>
      </c>
      <c r="G12" s="47">
        <v>5846</v>
      </c>
      <c r="H12" s="21">
        <f aca="true" t="shared" si="7" ref="H12:H22">IF(OR(G12="",F12=0),"",G12-F12)</f>
        <v>-163</v>
      </c>
      <c r="I12" s="71">
        <f t="shared" si="1"/>
        <v>-0.02712597770011649</v>
      </c>
      <c r="J12" s="38">
        <v>7115</v>
      </c>
      <c r="K12" s="47">
        <v>7402</v>
      </c>
      <c r="L12" s="21">
        <f aca="true" t="shared" si="8" ref="L12:L22">IF(OR(K12="",J12=0),"",K12-J12)</f>
        <v>287</v>
      </c>
      <c r="M12" s="71">
        <f t="shared" si="2"/>
        <v>0.04033731553056922</v>
      </c>
      <c r="N12" s="38">
        <f t="shared" si="3"/>
        <v>20517</v>
      </c>
      <c r="O12" s="34">
        <f t="shared" si="4"/>
        <v>20835</v>
      </c>
      <c r="P12" s="21">
        <f aca="true" t="shared" si="9" ref="P12:P22">IF(OR(O12="",N12=0),"",O12-N12)</f>
        <v>318</v>
      </c>
      <c r="Q12" s="71">
        <f t="shared" si="5"/>
        <v>0.015499342009065652</v>
      </c>
    </row>
    <row r="13" spans="1:17" ht="11.25" customHeight="1">
      <c r="A13" s="27" t="s">
        <v>8</v>
      </c>
      <c r="B13" s="40">
        <v>8374</v>
      </c>
      <c r="C13" s="48">
        <v>7867</v>
      </c>
      <c r="D13" s="22">
        <f t="shared" si="6"/>
        <v>-507</v>
      </c>
      <c r="E13" s="72">
        <f t="shared" si="0"/>
        <v>-0.06054454263195606</v>
      </c>
      <c r="F13" s="40">
        <v>6872</v>
      </c>
      <c r="G13" s="48">
        <v>6392</v>
      </c>
      <c r="H13" s="22">
        <f t="shared" si="7"/>
        <v>-480</v>
      </c>
      <c r="I13" s="72">
        <f t="shared" si="1"/>
        <v>-0.06984866123399301</v>
      </c>
      <c r="J13" s="40">
        <v>9762</v>
      </c>
      <c r="K13" s="48">
        <v>8582</v>
      </c>
      <c r="L13" s="22">
        <f t="shared" si="8"/>
        <v>-1180</v>
      </c>
      <c r="M13" s="72">
        <f t="shared" si="2"/>
        <v>-0.12087686949395615</v>
      </c>
      <c r="N13" s="40">
        <f t="shared" si="3"/>
        <v>25008</v>
      </c>
      <c r="O13" s="35">
        <f t="shared" si="4"/>
        <v>22841</v>
      </c>
      <c r="P13" s="22">
        <f t="shared" si="9"/>
        <v>-2167</v>
      </c>
      <c r="Q13" s="72">
        <f t="shared" si="5"/>
        <v>-0.08665227127319258</v>
      </c>
    </row>
    <row r="14" spans="1:17" ht="11.25" customHeight="1">
      <c r="A14" s="20" t="s">
        <v>9</v>
      </c>
      <c r="B14" s="38">
        <v>7291</v>
      </c>
      <c r="C14" s="47"/>
      <c r="D14" s="21">
        <f t="shared" si="6"/>
      </c>
      <c r="E14" s="71">
        <f t="shared" si="0"/>
      </c>
      <c r="F14" s="38">
        <v>5584</v>
      </c>
      <c r="G14" s="47"/>
      <c r="H14" s="21">
        <f t="shared" si="7"/>
      </c>
      <c r="I14" s="71">
        <f t="shared" si="1"/>
      </c>
      <c r="J14" s="38">
        <v>9065</v>
      </c>
      <c r="K14" s="47"/>
      <c r="L14" s="21">
        <f t="shared" si="8"/>
      </c>
      <c r="M14" s="71">
        <f t="shared" si="2"/>
      </c>
      <c r="N14" s="38">
        <f t="shared" si="3"/>
        <v>21940</v>
      </c>
      <c r="O14" s="34">
        <f t="shared" si="4"/>
      </c>
      <c r="P14" s="21">
        <f t="shared" si="9"/>
      </c>
      <c r="Q14" s="71">
        <f t="shared" si="5"/>
      </c>
    </row>
    <row r="15" spans="1:17" ht="11.25" customHeight="1">
      <c r="A15" s="20" t="s">
        <v>10</v>
      </c>
      <c r="B15" s="38">
        <v>7982</v>
      </c>
      <c r="C15" s="47"/>
      <c r="D15" s="21">
        <f t="shared" si="6"/>
      </c>
      <c r="E15" s="71">
        <f t="shared" si="0"/>
      </c>
      <c r="F15" s="38">
        <v>6428</v>
      </c>
      <c r="G15" s="47"/>
      <c r="H15" s="21">
        <f t="shared" si="7"/>
      </c>
      <c r="I15" s="71">
        <f t="shared" si="1"/>
      </c>
      <c r="J15" s="38">
        <v>9514</v>
      </c>
      <c r="K15" s="47"/>
      <c r="L15" s="21">
        <f t="shared" si="8"/>
      </c>
      <c r="M15" s="71">
        <f t="shared" si="2"/>
      </c>
      <c r="N15" s="38">
        <f t="shared" si="3"/>
        <v>23924</v>
      </c>
      <c r="O15" s="34">
        <f t="shared" si="4"/>
      </c>
      <c r="P15" s="21">
        <f t="shared" si="9"/>
      </c>
      <c r="Q15" s="71">
        <f t="shared" si="5"/>
      </c>
    </row>
    <row r="16" spans="1:17" ht="11.25" customHeight="1">
      <c r="A16" s="27" t="s">
        <v>11</v>
      </c>
      <c r="B16" s="40">
        <v>8204</v>
      </c>
      <c r="C16" s="48"/>
      <c r="D16" s="22">
        <f t="shared" si="6"/>
      </c>
      <c r="E16" s="72">
        <f t="shared" si="0"/>
      </c>
      <c r="F16" s="40">
        <v>6363</v>
      </c>
      <c r="G16" s="48"/>
      <c r="H16" s="22">
        <f t="shared" si="7"/>
      </c>
      <c r="I16" s="72">
        <f t="shared" si="1"/>
      </c>
      <c r="J16" s="40">
        <v>9071</v>
      </c>
      <c r="K16" s="48"/>
      <c r="L16" s="22">
        <f t="shared" si="8"/>
      </c>
      <c r="M16" s="72">
        <f t="shared" si="2"/>
      </c>
      <c r="N16" s="40">
        <f t="shared" si="3"/>
        <v>23638</v>
      </c>
      <c r="O16" s="35">
        <f t="shared" si="4"/>
      </c>
      <c r="P16" s="22">
        <f t="shared" si="9"/>
      </c>
      <c r="Q16" s="72">
        <f t="shared" si="5"/>
      </c>
    </row>
    <row r="17" spans="1:17" ht="11.25" customHeight="1">
      <c r="A17" s="20" t="s">
        <v>12</v>
      </c>
      <c r="B17" s="38">
        <v>8395</v>
      </c>
      <c r="C17" s="47"/>
      <c r="D17" s="21">
        <f t="shared" si="6"/>
      </c>
      <c r="E17" s="71">
        <f t="shared" si="0"/>
      </c>
      <c r="F17" s="38">
        <v>6413</v>
      </c>
      <c r="G17" s="47"/>
      <c r="H17" s="21">
        <f t="shared" si="7"/>
      </c>
      <c r="I17" s="71">
        <f t="shared" si="1"/>
      </c>
      <c r="J17" s="38">
        <v>9190</v>
      </c>
      <c r="K17" s="47"/>
      <c r="L17" s="21">
        <f t="shared" si="8"/>
      </c>
      <c r="M17" s="71">
        <f t="shared" si="2"/>
      </c>
      <c r="N17" s="38">
        <f t="shared" si="3"/>
        <v>23998</v>
      </c>
      <c r="O17" s="34">
        <f t="shared" si="4"/>
      </c>
      <c r="P17" s="21">
        <f t="shared" si="9"/>
      </c>
      <c r="Q17" s="71">
        <f t="shared" si="5"/>
      </c>
    </row>
    <row r="18" spans="1:17" ht="11.25" customHeight="1">
      <c r="A18" s="20" t="s">
        <v>13</v>
      </c>
      <c r="B18" s="38">
        <v>8014</v>
      </c>
      <c r="C18" s="47"/>
      <c r="D18" s="21">
        <f t="shared" si="6"/>
      </c>
      <c r="E18" s="71">
        <f t="shared" si="0"/>
      </c>
      <c r="F18" s="38">
        <v>5214</v>
      </c>
      <c r="G18" s="47"/>
      <c r="H18" s="21">
        <f t="shared" si="7"/>
      </c>
      <c r="I18" s="71">
        <f t="shared" si="1"/>
      </c>
      <c r="J18" s="38">
        <v>8782</v>
      </c>
      <c r="K18" s="47"/>
      <c r="L18" s="21">
        <f t="shared" si="8"/>
      </c>
      <c r="M18" s="71">
        <f t="shared" si="2"/>
      </c>
      <c r="N18" s="38">
        <f t="shared" si="3"/>
        <v>22010</v>
      </c>
      <c r="O18" s="34">
        <f t="shared" si="4"/>
      </c>
      <c r="P18" s="21">
        <f t="shared" si="9"/>
      </c>
      <c r="Q18" s="71">
        <f t="shared" si="5"/>
      </c>
    </row>
    <row r="19" spans="1:17" ht="11.25" customHeight="1">
      <c r="A19" s="27" t="s">
        <v>14</v>
      </c>
      <c r="B19" s="40">
        <v>7860</v>
      </c>
      <c r="C19" s="48"/>
      <c r="D19" s="22">
        <f t="shared" si="6"/>
      </c>
      <c r="E19" s="72">
        <f t="shared" si="0"/>
      </c>
      <c r="F19" s="40">
        <v>6033</v>
      </c>
      <c r="G19" s="48"/>
      <c r="H19" s="22">
        <f t="shared" si="7"/>
      </c>
      <c r="I19" s="72">
        <f t="shared" si="1"/>
      </c>
      <c r="J19" s="40">
        <v>8629</v>
      </c>
      <c r="K19" s="48"/>
      <c r="L19" s="22">
        <f t="shared" si="8"/>
      </c>
      <c r="M19" s="72">
        <f t="shared" si="2"/>
      </c>
      <c r="N19" s="40">
        <f t="shared" si="3"/>
        <v>22522</v>
      </c>
      <c r="O19" s="35">
        <f t="shared" si="4"/>
      </c>
      <c r="P19" s="22">
        <f t="shared" si="9"/>
      </c>
      <c r="Q19" s="72">
        <f t="shared" si="5"/>
      </c>
    </row>
    <row r="20" spans="1:17" ht="11.25" customHeight="1">
      <c r="A20" s="20" t="s">
        <v>15</v>
      </c>
      <c r="B20" s="38">
        <v>8936</v>
      </c>
      <c r="C20" s="47"/>
      <c r="D20" s="21">
        <f t="shared" si="6"/>
      </c>
      <c r="E20" s="71">
        <f t="shared" si="0"/>
      </c>
      <c r="F20" s="38">
        <v>6517</v>
      </c>
      <c r="G20" s="47"/>
      <c r="H20" s="21">
        <f t="shared" si="7"/>
      </c>
      <c r="I20" s="71">
        <f t="shared" si="1"/>
      </c>
      <c r="J20" s="38">
        <v>10120</v>
      </c>
      <c r="K20" s="47"/>
      <c r="L20" s="21">
        <f t="shared" si="8"/>
      </c>
      <c r="M20" s="71">
        <f t="shared" si="2"/>
      </c>
      <c r="N20" s="38">
        <f t="shared" si="3"/>
        <v>25573</v>
      </c>
      <c r="O20" s="34">
        <f t="shared" si="4"/>
      </c>
      <c r="P20" s="21">
        <f t="shared" si="9"/>
      </c>
      <c r="Q20" s="71">
        <f t="shared" si="5"/>
      </c>
    </row>
    <row r="21" spans="1:17" ht="11.25" customHeight="1">
      <c r="A21" s="20" t="s">
        <v>16</v>
      </c>
      <c r="B21" s="38">
        <v>8567</v>
      </c>
      <c r="C21" s="47"/>
      <c r="D21" s="21">
        <f t="shared" si="6"/>
      </c>
      <c r="E21" s="71">
        <f t="shared" si="0"/>
      </c>
      <c r="F21" s="38">
        <v>6399</v>
      </c>
      <c r="G21" s="47"/>
      <c r="H21" s="21">
        <f t="shared" si="7"/>
      </c>
      <c r="I21" s="71">
        <f t="shared" si="1"/>
      </c>
      <c r="J21" s="38">
        <v>8449</v>
      </c>
      <c r="K21" s="47"/>
      <c r="L21" s="21">
        <f t="shared" si="8"/>
      </c>
      <c r="M21" s="71">
        <f t="shared" si="2"/>
      </c>
      <c r="N21" s="38">
        <f t="shared" si="3"/>
        <v>23415</v>
      </c>
      <c r="O21" s="34">
        <f t="shared" si="4"/>
      </c>
      <c r="P21" s="21">
        <f t="shared" si="9"/>
      </c>
      <c r="Q21" s="71">
        <f t="shared" si="5"/>
      </c>
    </row>
    <row r="22" spans="1:17" ht="11.25" customHeight="1" thickBot="1">
      <c r="A22" s="23" t="s">
        <v>17</v>
      </c>
      <c r="B22" s="39">
        <v>6156</v>
      </c>
      <c r="C22" s="49"/>
      <c r="D22" s="21">
        <f t="shared" si="6"/>
      </c>
      <c r="E22" s="57">
        <f t="shared" si="0"/>
      </c>
      <c r="F22" s="39">
        <v>4772</v>
      </c>
      <c r="G22" s="49"/>
      <c r="H22" s="21">
        <f t="shared" si="7"/>
      </c>
      <c r="I22" s="57">
        <f t="shared" si="1"/>
      </c>
      <c r="J22" s="39">
        <v>6348</v>
      </c>
      <c r="K22" s="49"/>
      <c r="L22" s="21">
        <f t="shared" si="8"/>
      </c>
      <c r="M22" s="57">
        <f t="shared" si="2"/>
      </c>
      <c r="N22" s="39">
        <f t="shared" si="3"/>
        <v>17276</v>
      </c>
      <c r="O22" s="36">
        <f t="shared" si="4"/>
      </c>
      <c r="P22" s="21">
        <f t="shared" si="9"/>
      </c>
      <c r="Q22" s="57">
        <f t="shared" si="5"/>
      </c>
    </row>
    <row r="23" spans="1:17" ht="11.25" customHeight="1" thickBot="1">
      <c r="A23" s="44" t="s">
        <v>3</v>
      </c>
      <c r="B23" s="41">
        <f>IF(C17="",B24,B25)</f>
        <v>22595</v>
      </c>
      <c r="C23" s="42">
        <f>IF(C11="","",SUM(C11:C22))</f>
        <v>23251</v>
      </c>
      <c r="D23" s="43">
        <f>IF(C11="","",SUM(D11:D22))</f>
        <v>656</v>
      </c>
      <c r="E23" s="64">
        <f>IF(OR(D23="",D23=0),"",D23/B23)</f>
        <v>0.029032971896437266</v>
      </c>
      <c r="F23" s="41">
        <f>IF(G17="",F24,F25)</f>
        <v>18302</v>
      </c>
      <c r="G23" s="42">
        <f>IF(G11="","",SUM(G11:G22))</f>
        <v>18316</v>
      </c>
      <c r="H23" s="43">
        <f>IF(G11="","",SUM(H11:H22))</f>
        <v>14</v>
      </c>
      <c r="I23" s="64">
        <f>IF(OR(H23="",H23=0),"",H23/F23)</f>
        <v>0.0007649437219975958</v>
      </c>
      <c r="J23" s="41">
        <f>IF(K17="",J24,J25)</f>
        <v>23503</v>
      </c>
      <c r="K23" s="42">
        <f>IF(K11="","",SUM(K11:K22))</f>
        <v>23090</v>
      </c>
      <c r="L23" s="43">
        <f>IF(K11="","",SUM(L11:L22))</f>
        <v>-413</v>
      </c>
      <c r="M23" s="64">
        <f>IF(OR(L23="",L23=0),"",L23/J23)</f>
        <v>-0.017572224822363102</v>
      </c>
      <c r="N23" s="41">
        <f>IF(O17="",N24,N25)</f>
        <v>64400</v>
      </c>
      <c r="O23" s="42">
        <f>IF(O11="","",SUM(O11:O22))</f>
        <v>64657</v>
      </c>
      <c r="P23" s="43">
        <f>IF(O11="","",SUM(P11:P22))</f>
        <v>257</v>
      </c>
      <c r="Q23" s="64">
        <f>IF(OR(P23="",P23=0),"",P23/N23)</f>
        <v>0.003990683229813665</v>
      </c>
    </row>
    <row r="24" spans="1:17" ht="11.25" customHeight="1">
      <c r="A24" s="89" t="s">
        <v>28</v>
      </c>
      <c r="B24" s="94">
        <f>IF(C16&lt;&gt;"",SUM(B11:B16),IF(C15&lt;&gt;"",SUM(B11:B15),IF(C14&lt;&gt;"",SUM(B11:B14),IF(C13&lt;&gt;"",SUM(B11:B13),IF(C12&lt;&gt;"",SUM(B11:B12),B11)))))</f>
        <v>22595</v>
      </c>
      <c r="C24" s="59">
        <f>COUNTIF(C11:C22,"&gt;0")</f>
        <v>3</v>
      </c>
      <c r="D24" s="59"/>
      <c r="E24" s="60"/>
      <c r="F24" s="94">
        <f>IF(G16&lt;&gt;"",SUM(F11:F16),IF(G15&lt;&gt;"",SUM(F11:F15),IF(G14&lt;&gt;"",SUM(F11:F14),IF(G13&lt;&gt;"",SUM(F11:F13),IF(G12&lt;&gt;"",SUM(F11:F12),F11)))))</f>
        <v>18302</v>
      </c>
      <c r="G24" s="59">
        <f>COUNTIF(G11:G22,"&gt;0")</f>
        <v>3</v>
      </c>
      <c r="H24" s="59"/>
      <c r="I24" s="60"/>
      <c r="J24" s="94">
        <f>IF(K16&lt;&gt;"",SUM(J11:J16),IF(K15&lt;&gt;"",SUM(J11:J15),IF(K14&lt;&gt;"",SUM(J11:J14),IF(K13&lt;&gt;"",SUM(J11:J13),IF(K12&lt;&gt;"",SUM(J11:J12),J11)))))</f>
        <v>23503</v>
      </c>
      <c r="K24" s="59">
        <f>COUNTIF(K11:K22,"&gt;0")</f>
        <v>3</v>
      </c>
      <c r="L24" s="59"/>
      <c r="M24" s="60"/>
      <c r="N24" s="94">
        <f>IF(O16&lt;&gt;"",SUM(N11:N16),IF(O15&lt;&gt;"",SUM(N11:N15),IF(O14&lt;&gt;"",SUM(N11:N14),IF(O13&lt;&gt;"",SUM(N11:N13),IF(O12&lt;&gt;"",SUM(N11:N12),N11)))))</f>
        <v>64400</v>
      </c>
      <c r="O24" s="59">
        <f>COUNTIF(O11:O22,"&gt;0")</f>
        <v>3</v>
      </c>
      <c r="P24" s="59"/>
      <c r="Q24" s="60"/>
    </row>
    <row r="25" spans="2:14" ht="11.25" customHeight="1">
      <c r="B25" s="92">
        <f>IF(C22&lt;&gt;"",SUM(B11:B22),IF(C21&lt;&gt;"",SUM(B11:B21),IF(C20&lt;&gt;"",SUM(B11:B20),IF(C19&lt;&gt;"",SUM(B11:B19),IF(C18&lt;&gt;"",SUM(B11:B18),SUM(B11:B17))))))</f>
        <v>54467</v>
      </c>
      <c r="F25" s="92">
        <f>IF(G22&lt;&gt;"",SUM(F11:F22),IF(G21&lt;&gt;"",SUM(F11:F21),IF(G20&lt;&gt;"",SUM(F11:F20),IF(G19&lt;&gt;"",SUM(F11:F19),IF(G18&lt;&gt;"",SUM(F11:F18),SUM(F11:F17))))))</f>
        <v>43090</v>
      </c>
      <c r="J25" s="92">
        <f>IF(K22&lt;&gt;"",SUM(J11:J22),IF(K21&lt;&gt;"",SUM(J11:J21),IF(K20&lt;&gt;"",SUM(J11:J20),IF(K19&lt;&gt;"",SUM(J11:J19),IF(K18&lt;&gt;"",SUM(J11:J18),SUM(J11:J17))))))</f>
        <v>60343</v>
      </c>
      <c r="N25" s="92">
        <f>IF(O22&lt;&gt;"",SUM(N11:N22),IF(O21&lt;&gt;"",SUM(N11:N21),IF(O20&lt;&gt;"",SUM(N11:N20),IF(O19&lt;&gt;"",SUM(N11:N19),IF(O18&lt;&gt;"",SUM(N11:N18),SUM(N11:N17))))))</f>
        <v>157900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 aca="true" t="shared" si="10" ref="B31:B42">IF(C11="","",B11/$R31)</f>
        <v>310.3636363636364</v>
      </c>
      <c r="C31" s="81">
        <f aca="true" t="shared" si="11" ref="C31:C42">IF(C11="","",C11/$S31)</f>
        <v>354.40909090909093</v>
      </c>
      <c r="D31" s="77">
        <f>IF(OR(C31="",B31=0),"",C31-B31)</f>
        <v>44.04545454545456</v>
      </c>
      <c r="E31" s="73">
        <f>IF(D31="","",(C31-B31)/ABS(B31))</f>
        <v>0.14191564147627422</v>
      </c>
      <c r="F31" s="78">
        <f aca="true" t="shared" si="12" ref="F31:F42">IF(G11="","",F11/$R31)</f>
        <v>246.4090909090909</v>
      </c>
      <c r="G31" s="81">
        <f aca="true" t="shared" si="13" ref="G31:G42">IF(G11="","",G11/$S31)</f>
        <v>276.27272727272725</v>
      </c>
      <c r="H31" s="77">
        <f>IF(OR(G31="",F31=0),"",G31-F31)</f>
        <v>29.863636363636346</v>
      </c>
      <c r="I31" s="73">
        <f>IF(H31="","",(G31-F31)/ABS(F31))</f>
        <v>0.12119535141117868</v>
      </c>
      <c r="J31" s="78">
        <f aca="true" t="shared" si="14" ref="J31:J42">IF(K11="","",J11/$R31)</f>
        <v>301.1818181818182</v>
      </c>
      <c r="K31" s="81">
        <f aca="true" t="shared" si="15" ref="K31:K42">IF(K11="","",K11/$S31)</f>
        <v>323</v>
      </c>
      <c r="L31" s="77">
        <f>IF(OR(K31="",J31=0),"",K31-J31)</f>
        <v>21.818181818181813</v>
      </c>
      <c r="M31" s="73">
        <f>IF(L31="","",(K31-J31)/ABS(J31))</f>
        <v>0.07244189556293387</v>
      </c>
      <c r="N31" s="78">
        <f aca="true" t="shared" si="16" ref="N31:N42">IF(O11="","",N11/$R31)</f>
        <v>857.9545454545455</v>
      </c>
      <c r="O31" s="81">
        <f aca="true" t="shared" si="17" ref="O31:O42">IF(O11="","",O11/$S31)</f>
        <v>953.6818181818181</v>
      </c>
      <c r="P31" s="77">
        <f>IF(OR(O31="",N31=0),"",O31-N31)</f>
        <v>95.72727272727263</v>
      </c>
      <c r="Q31" s="73">
        <f>IF(P31="","",(O31-N31)/ABS(N31))</f>
        <v>0.11157615894039724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352.04761904761904</v>
      </c>
      <c r="C32" s="81">
        <f t="shared" si="11"/>
        <v>379.35</v>
      </c>
      <c r="D32" s="77">
        <f aca="true" t="shared" si="18" ref="D32:D42">IF(OR(C32="",B32=0),"",C32-B32)</f>
        <v>27.302380952380986</v>
      </c>
      <c r="E32" s="73">
        <f aca="true" t="shared" si="19" ref="E32:E42">IF(D32="","",(C32-B32)/ABS(B32))</f>
        <v>0.07755309076153127</v>
      </c>
      <c r="F32" s="78">
        <f t="shared" si="12"/>
        <v>286.14285714285717</v>
      </c>
      <c r="G32" s="81">
        <f t="shared" si="13"/>
        <v>292.3</v>
      </c>
      <c r="H32" s="77">
        <f aca="true" t="shared" si="20" ref="H32:H42">IF(OR(G32="",F32=0),"",G32-F32)</f>
        <v>6.157142857142844</v>
      </c>
      <c r="I32" s="73">
        <f aca="true" t="shared" si="21" ref="I32:I42">IF(H32="","",(G32-F32)/ABS(F32))</f>
        <v>0.021517723414877635</v>
      </c>
      <c r="J32" s="78">
        <f t="shared" si="14"/>
        <v>338.8095238095238</v>
      </c>
      <c r="K32" s="81">
        <f t="shared" si="15"/>
        <v>370.1</v>
      </c>
      <c r="L32" s="77">
        <f aca="true" t="shared" si="22" ref="L32:L42">IF(OR(K32="",J32=0),"",K32-J32)</f>
        <v>31.290476190476227</v>
      </c>
      <c r="M32" s="73">
        <f aca="true" t="shared" si="23" ref="M32:M42">IF(L32="","",(K32-J32)/ABS(J32))</f>
        <v>0.09235418130709779</v>
      </c>
      <c r="N32" s="78">
        <f t="shared" si="16"/>
        <v>977</v>
      </c>
      <c r="O32" s="81">
        <f t="shared" si="17"/>
        <v>1041.75</v>
      </c>
      <c r="P32" s="77">
        <f aca="true" t="shared" si="24" ref="P32:P42">IF(OR(O32="",N32=0),"",O32-N32)</f>
        <v>64.75</v>
      </c>
      <c r="Q32" s="73">
        <f aca="true" t="shared" si="25" ref="Q32:Q42">IF(P32="","",(O32-N32)/ABS(N32))</f>
        <v>0.06627430910951894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46" t="s">
        <v>8</v>
      </c>
      <c r="B33" s="79">
        <f t="shared" si="10"/>
        <v>380.6363636363636</v>
      </c>
      <c r="C33" s="82">
        <f t="shared" si="11"/>
        <v>393.35</v>
      </c>
      <c r="D33" s="84">
        <f t="shared" si="18"/>
        <v>12.713636363636397</v>
      </c>
      <c r="E33" s="74">
        <f t="shared" si="19"/>
        <v>0.03340100310484843</v>
      </c>
      <c r="F33" s="79">
        <f t="shared" si="12"/>
        <v>312.3636363636364</v>
      </c>
      <c r="G33" s="82">
        <f t="shared" si="13"/>
        <v>319.6</v>
      </c>
      <c r="H33" s="84">
        <f t="shared" si="20"/>
        <v>7.236363636363649</v>
      </c>
      <c r="I33" s="74">
        <f t="shared" si="21"/>
        <v>0.02316647264260772</v>
      </c>
      <c r="J33" s="79">
        <f t="shared" si="14"/>
        <v>443.72727272727275</v>
      </c>
      <c r="K33" s="82">
        <f t="shared" si="15"/>
        <v>429.1</v>
      </c>
      <c r="L33" s="84">
        <f t="shared" si="22"/>
        <v>-14.627272727272725</v>
      </c>
      <c r="M33" s="74">
        <f t="shared" si="23"/>
        <v>-0.032964556443351764</v>
      </c>
      <c r="N33" s="79">
        <f t="shared" si="16"/>
        <v>1136.7272727272727</v>
      </c>
      <c r="O33" s="82">
        <f t="shared" si="17"/>
        <v>1142.05</v>
      </c>
      <c r="P33" s="84">
        <f t="shared" si="24"/>
        <v>5.322727272727207</v>
      </c>
      <c r="Q33" s="74">
        <f t="shared" si="25"/>
        <v>0.004682501599488105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8"/>
      </c>
      <c r="E34" s="73">
        <f t="shared" si="19"/>
      </c>
      <c r="F34" s="78">
        <f t="shared" si="12"/>
      </c>
      <c r="G34" s="81">
        <f t="shared" si="13"/>
      </c>
      <c r="H34" s="77">
        <f t="shared" si="20"/>
      </c>
      <c r="I34" s="73">
        <f t="shared" si="21"/>
      </c>
      <c r="J34" s="78">
        <f t="shared" si="14"/>
      </c>
      <c r="K34" s="81">
        <f t="shared" si="15"/>
      </c>
      <c r="L34" s="77">
        <f t="shared" si="22"/>
      </c>
      <c r="M34" s="73">
        <f t="shared" si="23"/>
      </c>
      <c r="N34" s="78">
        <f t="shared" si="16"/>
      </c>
      <c r="O34" s="81">
        <f t="shared" si="17"/>
      </c>
      <c r="P34" s="77">
        <f t="shared" si="24"/>
      </c>
      <c r="Q34" s="73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8"/>
      </c>
      <c r="E35" s="73">
        <f t="shared" si="19"/>
      </c>
      <c r="F35" s="78">
        <f t="shared" si="12"/>
      </c>
      <c r="G35" s="81">
        <f t="shared" si="13"/>
      </c>
      <c r="H35" s="77">
        <f t="shared" si="20"/>
      </c>
      <c r="I35" s="73">
        <f t="shared" si="21"/>
      </c>
      <c r="J35" s="78">
        <f t="shared" si="14"/>
      </c>
      <c r="K35" s="81">
        <f t="shared" si="15"/>
      </c>
      <c r="L35" s="77">
        <f t="shared" si="22"/>
      </c>
      <c r="M35" s="73">
        <f t="shared" si="23"/>
      </c>
      <c r="N35" s="78">
        <f t="shared" si="16"/>
      </c>
      <c r="O35" s="81">
        <f t="shared" si="17"/>
      </c>
      <c r="P35" s="77">
        <f t="shared" si="24"/>
      </c>
      <c r="Q35" s="73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46" t="s">
        <v>11</v>
      </c>
      <c r="B36" s="79">
        <f t="shared" si="10"/>
      </c>
      <c r="C36" s="82">
        <f t="shared" si="11"/>
      </c>
      <c r="D36" s="84">
        <f t="shared" si="18"/>
      </c>
      <c r="E36" s="74">
        <f t="shared" si="19"/>
      </c>
      <c r="F36" s="79">
        <f t="shared" si="12"/>
      </c>
      <c r="G36" s="82">
        <f t="shared" si="13"/>
      </c>
      <c r="H36" s="84">
        <f t="shared" si="20"/>
      </c>
      <c r="I36" s="74">
        <f t="shared" si="21"/>
      </c>
      <c r="J36" s="79">
        <f t="shared" si="14"/>
      </c>
      <c r="K36" s="82">
        <f t="shared" si="15"/>
      </c>
      <c r="L36" s="84">
        <f t="shared" si="22"/>
      </c>
      <c r="M36" s="74">
        <f t="shared" si="23"/>
      </c>
      <c r="N36" s="79">
        <f t="shared" si="16"/>
      </c>
      <c r="O36" s="82">
        <f t="shared" si="17"/>
      </c>
      <c r="P36" s="84">
        <f t="shared" si="24"/>
      </c>
      <c r="Q36" s="74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8"/>
      </c>
      <c r="E37" s="73">
        <f t="shared" si="19"/>
      </c>
      <c r="F37" s="78">
        <f t="shared" si="12"/>
      </c>
      <c r="G37" s="81">
        <f t="shared" si="13"/>
      </c>
      <c r="H37" s="77">
        <f t="shared" si="20"/>
      </c>
      <c r="I37" s="73">
        <f t="shared" si="21"/>
      </c>
      <c r="J37" s="78">
        <f t="shared" si="14"/>
      </c>
      <c r="K37" s="81">
        <f t="shared" si="15"/>
      </c>
      <c r="L37" s="77">
        <f t="shared" si="22"/>
      </c>
      <c r="M37" s="73">
        <f t="shared" si="23"/>
      </c>
      <c r="N37" s="78">
        <f t="shared" si="16"/>
      </c>
      <c r="O37" s="81">
        <f t="shared" si="17"/>
      </c>
      <c r="P37" s="77">
        <f t="shared" si="24"/>
      </c>
      <c r="Q37" s="73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8"/>
      </c>
      <c r="E38" s="73">
        <f t="shared" si="19"/>
      </c>
      <c r="F38" s="78">
        <f t="shared" si="12"/>
      </c>
      <c r="G38" s="81">
        <f t="shared" si="13"/>
      </c>
      <c r="H38" s="77">
        <f t="shared" si="20"/>
      </c>
      <c r="I38" s="73">
        <f t="shared" si="21"/>
      </c>
      <c r="J38" s="78">
        <f t="shared" si="14"/>
      </c>
      <c r="K38" s="81">
        <f t="shared" si="15"/>
      </c>
      <c r="L38" s="77">
        <f t="shared" si="22"/>
      </c>
      <c r="M38" s="73">
        <f t="shared" si="23"/>
      </c>
      <c r="N38" s="78">
        <f t="shared" si="16"/>
      </c>
      <c r="O38" s="81">
        <f t="shared" si="17"/>
      </c>
      <c r="P38" s="77">
        <f t="shared" si="24"/>
      </c>
      <c r="Q38" s="73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46" t="s">
        <v>14</v>
      </c>
      <c r="B39" s="79">
        <f t="shared" si="10"/>
      </c>
      <c r="C39" s="82">
        <f t="shared" si="11"/>
      </c>
      <c r="D39" s="84">
        <f t="shared" si="18"/>
      </c>
      <c r="E39" s="74">
        <f t="shared" si="19"/>
      </c>
      <c r="F39" s="79">
        <f t="shared" si="12"/>
      </c>
      <c r="G39" s="82">
        <f t="shared" si="13"/>
      </c>
      <c r="H39" s="84">
        <f t="shared" si="20"/>
      </c>
      <c r="I39" s="74">
        <f t="shared" si="21"/>
      </c>
      <c r="J39" s="79">
        <f t="shared" si="14"/>
      </c>
      <c r="K39" s="82">
        <f t="shared" si="15"/>
      </c>
      <c r="L39" s="84">
        <f t="shared" si="22"/>
      </c>
      <c r="M39" s="74">
        <f t="shared" si="23"/>
      </c>
      <c r="N39" s="79">
        <f t="shared" si="16"/>
      </c>
      <c r="O39" s="82">
        <f t="shared" si="17"/>
      </c>
      <c r="P39" s="84">
        <f t="shared" si="24"/>
      </c>
      <c r="Q39" s="74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8"/>
      </c>
      <c r="E40" s="73">
        <f t="shared" si="19"/>
      </c>
      <c r="F40" s="78">
        <f t="shared" si="12"/>
      </c>
      <c r="G40" s="81">
        <f t="shared" si="13"/>
      </c>
      <c r="H40" s="77">
        <f t="shared" si="20"/>
      </c>
      <c r="I40" s="73">
        <f t="shared" si="21"/>
      </c>
      <c r="J40" s="78">
        <f t="shared" si="14"/>
      </c>
      <c r="K40" s="81">
        <f t="shared" si="15"/>
      </c>
      <c r="L40" s="77">
        <f t="shared" si="22"/>
      </c>
      <c r="M40" s="73">
        <f t="shared" si="23"/>
      </c>
      <c r="N40" s="78">
        <f t="shared" si="16"/>
      </c>
      <c r="O40" s="81">
        <f t="shared" si="17"/>
      </c>
      <c r="P40" s="77">
        <f t="shared" si="24"/>
      </c>
      <c r="Q40" s="73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8"/>
      </c>
      <c r="E41" s="73">
        <f t="shared" si="19"/>
      </c>
      <c r="F41" s="78">
        <f t="shared" si="12"/>
      </c>
      <c r="G41" s="81">
        <f t="shared" si="13"/>
      </c>
      <c r="H41" s="77">
        <f t="shared" si="20"/>
      </c>
      <c r="I41" s="73">
        <f t="shared" si="21"/>
      </c>
      <c r="J41" s="78">
        <f t="shared" si="14"/>
      </c>
      <c r="K41" s="81">
        <f t="shared" si="15"/>
      </c>
      <c r="L41" s="77">
        <f t="shared" si="22"/>
      </c>
      <c r="M41" s="73">
        <f t="shared" si="23"/>
      </c>
      <c r="N41" s="78">
        <f t="shared" si="16"/>
      </c>
      <c r="O41" s="81">
        <f t="shared" si="17"/>
      </c>
      <c r="P41" s="77">
        <f t="shared" si="24"/>
      </c>
      <c r="Q41" s="73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8"/>
      </c>
      <c r="E42" s="73">
        <f t="shared" si="19"/>
      </c>
      <c r="F42" s="78">
        <f t="shared" si="12"/>
      </c>
      <c r="G42" s="81">
        <f t="shared" si="13"/>
      </c>
      <c r="H42" s="77">
        <f t="shared" si="20"/>
      </c>
      <c r="I42" s="73">
        <f t="shared" si="21"/>
      </c>
      <c r="J42" s="78">
        <f t="shared" si="14"/>
      </c>
      <c r="K42" s="81">
        <f t="shared" si="15"/>
      </c>
      <c r="L42" s="77">
        <f t="shared" si="22"/>
      </c>
      <c r="M42" s="73">
        <f t="shared" si="23"/>
      </c>
      <c r="N42" s="78">
        <f t="shared" si="16"/>
      </c>
      <c r="O42" s="81">
        <f t="shared" si="17"/>
      </c>
      <c r="P42" s="77">
        <f t="shared" si="24"/>
      </c>
      <c r="Q42" s="73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45" t="s">
        <v>29</v>
      </c>
      <c r="B43" s="80">
        <f>IF(B23=0,"",SUM(B31:B42)/B44)</f>
        <v>347.6825396825397</v>
      </c>
      <c r="C43" s="83">
        <f>IF(OR(C23=0,C23=""),"",SUM(C31:C42)/C44)</f>
        <v>375.7030303030303</v>
      </c>
      <c r="D43" s="75">
        <f>IF(B23=0,"",AVERAGE(D31:D42))</f>
        <v>28.020490620490648</v>
      </c>
      <c r="E43" s="65">
        <f>IF(B23=0,"",AVERAGE(E31:E42))</f>
        <v>0.08428991178088464</v>
      </c>
      <c r="F43" s="80">
        <f>IF(F23=0,"",SUM(F31:F42)/F44)</f>
        <v>281.63852813852816</v>
      </c>
      <c r="G43" s="83">
        <f>IF(OR(G23=0,G23=""),"",SUM(G31:G42)/G44)</f>
        <v>296.05757575757576</v>
      </c>
      <c r="H43" s="75">
        <f>IF(F23=0,"",AVERAGE(H31:H42))</f>
        <v>14.419047619047612</v>
      </c>
      <c r="I43" s="65">
        <f>IF(F23=0,"",AVERAGE(I31:I42))</f>
        <v>0.05529318248955468</v>
      </c>
      <c r="J43" s="80">
        <f>IF(J23=0,"",SUM(J31:J42)/J44)</f>
        <v>361.23953823953826</v>
      </c>
      <c r="K43" s="83">
        <f>IF(OR(K23=0,K23=""),"",SUM(K31:K42)/K44)</f>
        <v>374.06666666666666</v>
      </c>
      <c r="L43" s="75">
        <f>IF(J23=0,"",AVERAGE(L31:L42))</f>
        <v>12.827128427128438</v>
      </c>
      <c r="M43" s="65">
        <f>IF(J23=0,"",AVERAGE(M31:M42))</f>
        <v>0.04394384014222663</v>
      </c>
      <c r="N43" s="80">
        <f>IF(N23=0,"",SUM(N31:N42)/N44)</f>
        <v>990.560606060606</v>
      </c>
      <c r="O43" s="83">
        <f>IF(OR(O23=0,O23=""),"",SUM(O31:O42)/O44)</f>
        <v>1045.8272727272727</v>
      </c>
      <c r="P43" s="75">
        <f>IF(N23=0,"",AVERAGE(P31:P42))</f>
        <v>55.266666666666616</v>
      </c>
      <c r="Q43" s="65">
        <f>IF(N23=0,"",AVERAGE(Q31:Q42))</f>
        <v>0.06084432321646809</v>
      </c>
      <c r="R43" s="104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61">
        <f>COUNTIF(B31:B42,"&gt;0")</f>
        <v>3</v>
      </c>
      <c r="C44" s="61">
        <f>COUNTIF(C31:C42,"&gt;0")</f>
        <v>3</v>
      </c>
      <c r="D44" s="62"/>
      <c r="E44" s="63"/>
      <c r="F44" s="61">
        <f>COUNTIF(F31:F42,"&gt;0")</f>
        <v>3</v>
      </c>
      <c r="G44" s="61">
        <f>COUNTIF(G31:G42,"&gt;0")</f>
        <v>3</v>
      </c>
      <c r="H44" s="62"/>
      <c r="I44" s="63"/>
      <c r="J44" s="61">
        <f>COUNTIF(J31:J42,"&gt;0")</f>
        <v>3</v>
      </c>
      <c r="K44" s="61">
        <f>COUNTIF(K31:K42,"&gt;0")</f>
        <v>3</v>
      </c>
      <c r="L44" s="62"/>
      <c r="M44" s="63"/>
      <c r="N44" s="61">
        <f>COUNTIF(N31:N42,"&gt;0")</f>
        <v>3</v>
      </c>
      <c r="O44" s="61">
        <f>COUNTIF(O31:O42,"&gt;0")</f>
        <v>3</v>
      </c>
      <c r="P44" s="62"/>
      <c r="Q44" s="63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B2:E2"/>
    <mergeCell ref="D3:E3"/>
    <mergeCell ref="B3:C3"/>
    <mergeCell ref="B6:E7"/>
    <mergeCell ref="B8:E8"/>
    <mergeCell ref="F8:I8"/>
    <mergeCell ref="R30:S30"/>
    <mergeCell ref="P29:Q29"/>
    <mergeCell ref="B28:E28"/>
    <mergeCell ref="F28:I28"/>
    <mergeCell ref="J28:M28"/>
    <mergeCell ref="J8:M8"/>
    <mergeCell ref="N8:Q8"/>
    <mergeCell ref="D29:E29"/>
    <mergeCell ref="H29:I29"/>
    <mergeCell ref="L29:M29"/>
    <mergeCell ref="N28:Q28"/>
    <mergeCell ref="B26:E27"/>
    <mergeCell ref="P9:Q9"/>
    <mergeCell ref="L9:M9"/>
    <mergeCell ref="D9:E9"/>
    <mergeCell ref="H9:I9"/>
  </mergeCells>
  <conditionalFormatting sqref="F21 B18:B21 F13:F16 N18:N21 J13:J16 J18:J21 N13:N16 F18:F19 B14:B16">
    <cfRule type="expression" priority="3" dxfId="2" stopIfTrue="1">
      <formula>C13=""</formula>
    </cfRule>
  </conditionalFormatting>
  <conditionalFormatting sqref="B17 F20 N22 F17 F12 F22 J17 J12 J22 N17 N12">
    <cfRule type="expression" priority="4" dxfId="2" stopIfTrue="1">
      <formula>C12=""</formula>
    </cfRule>
  </conditionalFormatting>
  <conditionalFormatting sqref="R43:S43 S31:S42">
    <cfRule type="expression" priority="5" dxfId="1" stopIfTrue="1">
      <formula>R31&lt;$R31</formula>
    </cfRule>
    <cfRule type="expression" priority="6" dxfId="0" stopIfTrue="1">
      <formula>R31&gt;$R31</formula>
    </cfRule>
  </conditionalFormatting>
  <conditionalFormatting sqref="B22 B12:B13">
    <cfRule type="expression" priority="7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U60"/>
  <sheetViews>
    <sheetView showGridLines="0" zoomScalePageLayoutView="0" workbookViewId="0" topLeftCell="A1">
      <selection activeCell="J1" sqref="J1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102" t="s">
        <v>27</v>
      </c>
      <c r="B2" s="126" t="s">
        <v>37</v>
      </c>
      <c r="C2" s="126"/>
      <c r="D2" s="126"/>
      <c r="E2" s="126"/>
      <c r="Q2" s="96"/>
    </row>
    <row r="3" spans="1:17" ht="13.5" customHeight="1">
      <c r="A3" s="1"/>
      <c r="B3" s="127" t="s">
        <v>20</v>
      </c>
      <c r="C3" s="127"/>
      <c r="D3" s="128" t="s">
        <v>19</v>
      </c>
      <c r="E3" s="128"/>
      <c r="Q3" s="95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96"/>
    </row>
    <row r="5" spans="1:17" ht="11.25" customHeight="1">
      <c r="A5" s="52"/>
      <c r="B5" s="52"/>
      <c r="C5" s="56"/>
      <c r="D5" s="56"/>
      <c r="E5" s="5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96"/>
    </row>
    <row r="6" spans="1:6" ht="11.25" customHeight="1">
      <c r="A6" s="7"/>
      <c r="B6" s="121" t="s">
        <v>30</v>
      </c>
      <c r="C6" s="122"/>
      <c r="D6" s="122"/>
      <c r="E6" s="122"/>
      <c r="F6" s="9" t="s">
        <v>32</v>
      </c>
    </row>
    <row r="7" spans="2:6" ht="11.25" customHeight="1" thickBot="1">
      <c r="B7" s="123"/>
      <c r="C7" s="123"/>
      <c r="D7" s="123"/>
      <c r="E7" s="123"/>
      <c r="F7" s="2" t="s">
        <v>33</v>
      </c>
    </row>
    <row r="8" spans="1:17" s="9" customFormat="1" ht="11.25" customHeight="1" thickBot="1">
      <c r="A8" s="8" t="s">
        <v>4</v>
      </c>
      <c r="B8" s="107" t="s">
        <v>0</v>
      </c>
      <c r="C8" s="108"/>
      <c r="D8" s="108"/>
      <c r="E8" s="109"/>
      <c r="F8" s="116" t="s">
        <v>1</v>
      </c>
      <c r="G8" s="117"/>
      <c r="H8" s="117"/>
      <c r="I8" s="118"/>
      <c r="J8" s="124" t="s">
        <v>2</v>
      </c>
      <c r="K8" s="125"/>
      <c r="L8" s="125"/>
      <c r="M8" s="125"/>
      <c r="N8" s="113" t="s">
        <v>3</v>
      </c>
      <c r="O8" s="114"/>
      <c r="P8" s="114"/>
      <c r="Q8" s="115"/>
    </row>
    <row r="9" spans="1:17" s="9" customFormat="1" ht="11.25" customHeight="1">
      <c r="A9" s="10"/>
      <c r="B9" s="50">
        <f>'BON-NS'!B9</f>
        <v>2012</v>
      </c>
      <c r="C9" s="51">
        <f>'BON-NS'!C9</f>
        <v>2013</v>
      </c>
      <c r="D9" s="110" t="s">
        <v>5</v>
      </c>
      <c r="E9" s="112"/>
      <c r="F9" s="50">
        <f>$B$9</f>
        <v>2012</v>
      </c>
      <c r="G9" s="51">
        <f>$C$9</f>
        <v>2013</v>
      </c>
      <c r="H9" s="110" t="s">
        <v>5</v>
      </c>
      <c r="I9" s="112"/>
      <c r="J9" s="50">
        <f>$B$9</f>
        <v>2012</v>
      </c>
      <c r="K9" s="51">
        <f>$C$9</f>
        <v>2013</v>
      </c>
      <c r="L9" s="110" t="s">
        <v>5</v>
      </c>
      <c r="M9" s="111"/>
      <c r="N9" s="50">
        <f>$B$9</f>
        <v>2012</v>
      </c>
      <c r="O9" s="51">
        <f>$C$9</f>
        <v>2013</v>
      </c>
      <c r="P9" s="110" t="s">
        <v>5</v>
      </c>
      <c r="Q9" s="112"/>
    </row>
    <row r="10" spans="1:17" s="9" customFormat="1" ht="11.25" customHeight="1">
      <c r="A10" s="88" t="s">
        <v>24</v>
      </c>
      <c r="B10" s="11">
        <f>$R$43</f>
        <v>253</v>
      </c>
      <c r="C10" s="12">
        <f>$S$43</f>
        <v>252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>
      <c r="A11" s="20" t="s">
        <v>6</v>
      </c>
      <c r="B11" s="38">
        <f>SUM('BON-NS'!B11,'BSL-NS'!B11,'BWA-NS'!B11,'RFA-NS'!B11)</f>
        <v>37034</v>
      </c>
      <c r="C11" s="47">
        <f>IF('BON-NS'!C11="","",SUM('BON-NS'!C11,'BSL-NS'!C11,'BWA-NS'!C11,'RFA-NS'!C11))</f>
        <v>38457</v>
      </c>
      <c r="D11" s="21">
        <f aca="true" t="shared" si="0" ref="D11:D22">IF(C11="","",C11-B11)</f>
        <v>1423</v>
      </c>
      <c r="E11" s="71">
        <f aca="true" t="shared" si="1" ref="E11:E23">IF(D11="","",D11/B11)</f>
        <v>0.03842415078036399</v>
      </c>
      <c r="F11" s="38">
        <f>SUM('BON-NS'!F11,'BSL-NS'!F11,'BWA-NS'!F11,'RFA-NS'!F11)</f>
        <v>36573</v>
      </c>
      <c r="G11" s="47">
        <f>IF('BON-NS'!G11="","",SUM('BON-NS'!G11,'BSL-NS'!G11,'BWA-NS'!G11,'RFA-NS'!G11))</f>
        <v>36667</v>
      </c>
      <c r="H11" s="21">
        <f aca="true" t="shared" si="2" ref="H11:H22">IF(G11="","",G11-F11)</f>
        <v>94</v>
      </c>
      <c r="I11" s="71">
        <f aca="true" t="shared" si="3" ref="I11:I23">IF(H11="","",H11/F11)</f>
        <v>0.0025702020616301642</v>
      </c>
      <c r="J11" s="38">
        <f>SUM('BON-NS'!J11,'BSL-NS'!J11,'BWA-NS'!J11,'RFA-NS'!J11)</f>
        <v>6063</v>
      </c>
      <c r="K11" s="47">
        <f>IF('BON-NS'!K11="","",SUM('BON-NS'!K11,'BSL-NS'!K11,'BWA-NS'!K11,'RFA-NS'!K11))</f>
        <v>6199</v>
      </c>
      <c r="L11" s="21">
        <f aca="true" t="shared" si="4" ref="L11:L22">IF(K11="","",K11-J11)</f>
        <v>136</v>
      </c>
      <c r="M11" s="71">
        <f aca="true" t="shared" si="5" ref="M11:M23">IF(L11="","",L11/J11)</f>
        <v>0.02243113969981857</v>
      </c>
      <c r="N11" s="38">
        <f>SUM(B11,F11,J11)</f>
        <v>79670</v>
      </c>
      <c r="O11" s="34">
        <f aca="true" t="shared" si="6" ref="O11:O22">IF(C11="","",SUM(C11,G11,K11))</f>
        <v>81323</v>
      </c>
      <c r="P11" s="21">
        <f aca="true" t="shared" si="7" ref="P11:P22">IF(O11="","",O11-N11)</f>
        <v>1653</v>
      </c>
      <c r="Q11" s="71">
        <f aca="true" t="shared" si="8" ref="Q11:Q23">IF(P11="","",P11/N11)</f>
        <v>0.020748085854148363</v>
      </c>
    </row>
    <row r="12" spans="1:17" ht="11.25" customHeight="1">
      <c r="A12" s="20" t="s">
        <v>7</v>
      </c>
      <c r="B12" s="38">
        <f>SUM('BON-NS'!B12,'BSL-NS'!B12,'BWA-NS'!B12,'RFA-NS'!B12)</f>
        <v>38254</v>
      </c>
      <c r="C12" s="47">
        <f>IF('BON-NS'!C12="","",SUM('BON-NS'!C12,'BSL-NS'!C12,'BWA-NS'!C12,'RFA-NS'!C12))</f>
        <v>38967</v>
      </c>
      <c r="D12" s="21">
        <f t="shared" si="0"/>
        <v>713</v>
      </c>
      <c r="E12" s="71">
        <f t="shared" si="1"/>
        <v>0.018638573743922204</v>
      </c>
      <c r="F12" s="38">
        <f>SUM('BON-NS'!F12,'BSL-NS'!F12,'BWA-NS'!F12,'RFA-NS'!F12)</f>
        <v>40196</v>
      </c>
      <c r="G12" s="47">
        <f>IF('BON-NS'!G12="","",SUM('BON-NS'!G12,'BSL-NS'!G12,'BWA-NS'!G12,'RFA-NS'!G12))</f>
        <v>35170</v>
      </c>
      <c r="H12" s="21">
        <f t="shared" si="2"/>
        <v>-5026</v>
      </c>
      <c r="I12" s="71">
        <f t="shared" si="3"/>
        <v>-0.12503731714598468</v>
      </c>
      <c r="J12" s="38">
        <f>SUM('BON-NS'!J12,'BSL-NS'!J12,'BWA-NS'!J12,'RFA-NS'!J12)</f>
        <v>5834</v>
      </c>
      <c r="K12" s="47">
        <f>IF('BON-NS'!K12="","",SUM('BON-NS'!K12,'BSL-NS'!K12,'BWA-NS'!K12,'RFA-NS'!K12))</f>
        <v>5254</v>
      </c>
      <c r="L12" s="21">
        <f t="shared" si="4"/>
        <v>-580</v>
      </c>
      <c r="M12" s="71">
        <f t="shared" si="5"/>
        <v>-0.09941720946177579</v>
      </c>
      <c r="N12" s="38">
        <f aca="true" t="shared" si="9" ref="N12:N22">SUM(B12,F12,J12)</f>
        <v>84284</v>
      </c>
      <c r="O12" s="34">
        <f t="shared" si="6"/>
        <v>79391</v>
      </c>
      <c r="P12" s="21">
        <f t="shared" si="7"/>
        <v>-4893</v>
      </c>
      <c r="Q12" s="71">
        <f t="shared" si="8"/>
        <v>-0.05805372312657207</v>
      </c>
    </row>
    <row r="13" spans="1:17" ht="11.25" customHeight="1">
      <c r="A13" s="20" t="s">
        <v>8</v>
      </c>
      <c r="B13" s="40">
        <f>SUM('BON-NS'!B13,'BSL-NS'!B13,'BWA-NS'!B13,'RFA-NS'!B13)</f>
        <v>44516</v>
      </c>
      <c r="C13" s="48">
        <f>IF('BON-NS'!C13="","",SUM('BON-NS'!C13,'BSL-NS'!C13,'BWA-NS'!C13,'RFA-NS'!C13))</f>
        <v>42355</v>
      </c>
      <c r="D13" s="22">
        <f t="shared" si="0"/>
        <v>-2161</v>
      </c>
      <c r="E13" s="72">
        <f t="shared" si="1"/>
        <v>-0.048544343606793064</v>
      </c>
      <c r="F13" s="40">
        <f>SUM('BON-NS'!F13,'BSL-NS'!F13,'BWA-NS'!F13,'RFA-NS'!F13)</f>
        <v>43441</v>
      </c>
      <c r="G13" s="48">
        <f>IF('BON-NS'!G13="","",SUM('BON-NS'!G13,'BSL-NS'!G13,'BWA-NS'!G13,'RFA-NS'!G13))</f>
        <v>37727</v>
      </c>
      <c r="H13" s="22">
        <f t="shared" si="2"/>
        <v>-5714</v>
      </c>
      <c r="I13" s="72">
        <f t="shared" si="3"/>
        <v>-0.13153472525954743</v>
      </c>
      <c r="J13" s="40">
        <f>SUM('BON-NS'!J13,'BSL-NS'!J13,'BWA-NS'!J13,'RFA-NS'!J13)</f>
        <v>7192</v>
      </c>
      <c r="K13" s="48">
        <f>IF('BON-NS'!K13="","",SUM('BON-NS'!K13,'BSL-NS'!K13,'BWA-NS'!K13,'RFA-NS'!K13))</f>
        <v>5237</v>
      </c>
      <c r="L13" s="22">
        <f t="shared" si="4"/>
        <v>-1955</v>
      </c>
      <c r="M13" s="72">
        <f t="shared" si="5"/>
        <v>-0.2718298109010011</v>
      </c>
      <c r="N13" s="40">
        <f t="shared" si="9"/>
        <v>95149</v>
      </c>
      <c r="O13" s="35">
        <f t="shared" si="6"/>
        <v>85319</v>
      </c>
      <c r="P13" s="22">
        <f t="shared" si="7"/>
        <v>-9830</v>
      </c>
      <c r="Q13" s="72">
        <f t="shared" si="8"/>
        <v>-0.10331164804674774</v>
      </c>
    </row>
    <row r="14" spans="1:17" ht="11.25" customHeight="1">
      <c r="A14" s="20" t="s">
        <v>9</v>
      </c>
      <c r="B14" s="38">
        <f>SUM('BON-NS'!B14,'BSL-NS'!B14,'BWA-NS'!B14,'RFA-NS'!B14)</f>
        <v>39970</v>
      </c>
      <c r="C14" s="47">
        <f>IF('BON-NS'!C14="","",SUM('BON-NS'!C14,'BSL-NS'!C14,'BWA-NS'!C14,'RFA-NS'!C14))</f>
      </c>
      <c r="D14" s="21">
        <f t="shared" si="0"/>
      </c>
      <c r="E14" s="71">
        <f t="shared" si="1"/>
      </c>
      <c r="F14" s="38">
        <f>SUM('BON-NS'!F14,'BSL-NS'!F14,'BWA-NS'!F14,'RFA-NS'!F14)</f>
        <v>34682</v>
      </c>
      <c r="G14" s="47">
        <f>IF('BON-NS'!G14="","",SUM('BON-NS'!G14,'BSL-NS'!G14,'BWA-NS'!G14,'RFA-NS'!G14))</f>
      </c>
      <c r="H14" s="21">
        <f t="shared" si="2"/>
      </c>
      <c r="I14" s="71">
        <f t="shared" si="3"/>
      </c>
      <c r="J14" s="38">
        <f>SUM('BON-NS'!J14,'BSL-NS'!J14,'BWA-NS'!J14,'RFA-NS'!J14)</f>
        <v>6066</v>
      </c>
      <c r="K14" s="47">
        <f>IF('BON-NS'!K14="","",SUM('BON-NS'!K14,'BSL-NS'!K14,'BWA-NS'!K14,'RFA-NS'!K14))</f>
      </c>
      <c r="L14" s="21">
        <f t="shared" si="4"/>
      </c>
      <c r="M14" s="71">
        <f t="shared" si="5"/>
      </c>
      <c r="N14" s="38">
        <f t="shared" si="9"/>
        <v>80718</v>
      </c>
      <c r="O14" s="34">
        <f t="shared" si="6"/>
      </c>
      <c r="P14" s="21">
        <f t="shared" si="7"/>
      </c>
      <c r="Q14" s="71">
        <f t="shared" si="8"/>
      </c>
    </row>
    <row r="15" spans="1:17" ht="11.25" customHeight="1">
      <c r="A15" s="20" t="s">
        <v>10</v>
      </c>
      <c r="B15" s="38">
        <f>SUM('BON-NS'!B15,'BSL-NS'!B15,'BWA-NS'!B15,'RFA-NS'!B15)</f>
        <v>41708</v>
      </c>
      <c r="C15" s="47">
        <f>IF('BON-NS'!C15="","",SUM('BON-NS'!C15,'BSL-NS'!C15,'BWA-NS'!C15,'RFA-NS'!C15))</f>
      </c>
      <c r="D15" s="21">
        <f t="shared" si="0"/>
      </c>
      <c r="E15" s="71">
        <f t="shared" si="1"/>
      </c>
      <c r="F15" s="38">
        <f>SUM('BON-NS'!F15,'BSL-NS'!F15,'BWA-NS'!F15,'RFA-NS'!F15)</f>
        <v>37177</v>
      </c>
      <c r="G15" s="47">
        <f>IF('BON-NS'!G15="","",SUM('BON-NS'!G15,'BSL-NS'!G15,'BWA-NS'!G15,'RFA-NS'!G15))</f>
      </c>
      <c r="H15" s="21">
        <f t="shared" si="2"/>
      </c>
      <c r="I15" s="71">
        <f t="shared" si="3"/>
      </c>
      <c r="J15" s="38">
        <f>SUM('BON-NS'!J15,'BSL-NS'!J15,'BWA-NS'!J15,'RFA-NS'!J15)</f>
        <v>5849</v>
      </c>
      <c r="K15" s="47">
        <f>IF('BON-NS'!K15="","",SUM('BON-NS'!K15,'BSL-NS'!K15,'BWA-NS'!K15,'RFA-NS'!K15))</f>
      </c>
      <c r="L15" s="21">
        <f t="shared" si="4"/>
      </c>
      <c r="M15" s="71">
        <f t="shared" si="5"/>
      </c>
      <c r="N15" s="38">
        <f t="shared" si="9"/>
        <v>84734</v>
      </c>
      <c r="O15" s="34">
        <f t="shared" si="6"/>
      </c>
      <c r="P15" s="21">
        <f t="shared" si="7"/>
      </c>
      <c r="Q15" s="71">
        <f t="shared" si="8"/>
      </c>
    </row>
    <row r="16" spans="1:17" ht="11.25" customHeight="1">
      <c r="A16" s="20" t="s">
        <v>11</v>
      </c>
      <c r="B16" s="40">
        <f>SUM('BON-NS'!B16,'BSL-NS'!B16,'BWA-NS'!B16,'RFA-NS'!B16)</f>
        <v>42839</v>
      </c>
      <c r="C16" s="48">
        <f>IF('BON-NS'!C16="","",SUM('BON-NS'!C16,'BSL-NS'!C16,'BWA-NS'!C16,'RFA-NS'!C16))</f>
      </c>
      <c r="D16" s="22">
        <f t="shared" si="0"/>
      </c>
      <c r="E16" s="72">
        <f t="shared" si="1"/>
      </c>
      <c r="F16" s="40">
        <f>SUM('BON-NS'!F16,'BSL-NS'!F16,'BWA-NS'!F16,'RFA-NS'!F16)</f>
        <v>39214</v>
      </c>
      <c r="G16" s="48">
        <f>IF('BON-NS'!G16="","",SUM('BON-NS'!G16,'BSL-NS'!G16,'BWA-NS'!G16,'RFA-NS'!G16))</f>
      </c>
      <c r="H16" s="22">
        <f t="shared" si="2"/>
      </c>
      <c r="I16" s="72">
        <f t="shared" si="3"/>
      </c>
      <c r="J16" s="40">
        <f>SUM('BON-NS'!J16,'BSL-NS'!J16,'BWA-NS'!J16,'RFA-NS'!J16)</f>
        <v>5404</v>
      </c>
      <c r="K16" s="48">
        <f>IF('BON-NS'!K16="","",SUM('BON-NS'!K16,'BSL-NS'!K16,'BWA-NS'!K16,'RFA-NS'!K16))</f>
      </c>
      <c r="L16" s="22">
        <f t="shared" si="4"/>
      </c>
      <c r="M16" s="72">
        <f t="shared" si="5"/>
      </c>
      <c r="N16" s="40">
        <f t="shared" si="9"/>
        <v>87457</v>
      </c>
      <c r="O16" s="35">
        <f t="shared" si="6"/>
      </c>
      <c r="P16" s="22">
        <f t="shared" si="7"/>
      </c>
      <c r="Q16" s="72">
        <f t="shared" si="8"/>
      </c>
    </row>
    <row r="17" spans="1:17" ht="11.25" customHeight="1">
      <c r="A17" s="20" t="s">
        <v>12</v>
      </c>
      <c r="B17" s="38">
        <f>SUM('BON-NS'!B17,'BSL-NS'!B17,'BWA-NS'!B17,'RFA-NS'!B17)</f>
        <v>42234</v>
      </c>
      <c r="C17" s="47">
        <f>IF('BON-NS'!C17="","",SUM('BON-NS'!C17,'BSL-NS'!C17,'BWA-NS'!C17,'RFA-NS'!C17))</f>
      </c>
      <c r="D17" s="21">
        <f t="shared" si="0"/>
      </c>
      <c r="E17" s="71">
        <f t="shared" si="1"/>
      </c>
      <c r="F17" s="38">
        <f>SUM('BON-NS'!F17,'BSL-NS'!F17,'BWA-NS'!F17,'RFA-NS'!F17)</f>
        <v>36793</v>
      </c>
      <c r="G17" s="47">
        <f>IF('BON-NS'!G17="","",SUM('BON-NS'!G17,'BSL-NS'!G17,'BWA-NS'!G17,'RFA-NS'!G17))</f>
      </c>
      <c r="H17" s="21">
        <f t="shared" si="2"/>
      </c>
      <c r="I17" s="71">
        <f t="shared" si="3"/>
      </c>
      <c r="J17" s="38">
        <f>SUM('BON-NS'!J17,'BSL-NS'!J17,'BWA-NS'!J17,'RFA-NS'!J17)</f>
        <v>6094</v>
      </c>
      <c r="K17" s="47">
        <f>IF('BON-NS'!K17="","",SUM('BON-NS'!K17,'BSL-NS'!K17,'BWA-NS'!K17,'RFA-NS'!K17))</f>
      </c>
      <c r="L17" s="21">
        <f t="shared" si="4"/>
      </c>
      <c r="M17" s="71">
        <f t="shared" si="5"/>
      </c>
      <c r="N17" s="38">
        <f t="shared" si="9"/>
        <v>85121</v>
      </c>
      <c r="O17" s="34">
        <f t="shared" si="6"/>
      </c>
      <c r="P17" s="21">
        <f t="shared" si="7"/>
      </c>
      <c r="Q17" s="71">
        <f t="shared" si="8"/>
      </c>
    </row>
    <row r="18" spans="1:17" ht="11.25" customHeight="1">
      <c r="A18" s="20" t="s">
        <v>13</v>
      </c>
      <c r="B18" s="38">
        <f>SUM('BON-NS'!B18,'BSL-NS'!B18,'BWA-NS'!B18,'RFA-NS'!B18)</f>
        <v>39091</v>
      </c>
      <c r="C18" s="47">
        <f>IF('BON-NS'!C18="","",SUM('BON-NS'!C18,'BSL-NS'!C18,'BWA-NS'!C18,'RFA-NS'!C18))</f>
      </c>
      <c r="D18" s="21">
        <f t="shared" si="0"/>
      </c>
      <c r="E18" s="71">
        <f t="shared" si="1"/>
      </c>
      <c r="F18" s="38">
        <f>SUM('BON-NS'!F18,'BSL-NS'!F18,'BWA-NS'!F18,'RFA-NS'!F18)</f>
        <v>30996</v>
      </c>
      <c r="G18" s="47">
        <f>IF('BON-NS'!G18="","",SUM('BON-NS'!G18,'BSL-NS'!G18,'BWA-NS'!G18,'RFA-NS'!G18))</f>
      </c>
      <c r="H18" s="21">
        <f t="shared" si="2"/>
      </c>
      <c r="I18" s="71">
        <f t="shared" si="3"/>
      </c>
      <c r="J18" s="38">
        <f>SUM('BON-NS'!J18,'BSL-NS'!J18,'BWA-NS'!J18,'RFA-NS'!J18)</f>
        <v>5853</v>
      </c>
      <c r="K18" s="47">
        <f>IF('BON-NS'!K18="","",SUM('BON-NS'!K18,'BSL-NS'!K18,'BWA-NS'!K18,'RFA-NS'!K18))</f>
      </c>
      <c r="L18" s="21">
        <f t="shared" si="4"/>
      </c>
      <c r="M18" s="71">
        <f t="shared" si="5"/>
      </c>
      <c r="N18" s="38">
        <f t="shared" si="9"/>
        <v>75940</v>
      </c>
      <c r="O18" s="34">
        <f t="shared" si="6"/>
      </c>
      <c r="P18" s="21">
        <f t="shared" si="7"/>
      </c>
      <c r="Q18" s="71">
        <f t="shared" si="8"/>
      </c>
    </row>
    <row r="19" spans="1:17" ht="11.25" customHeight="1">
      <c r="A19" s="20" t="s">
        <v>14</v>
      </c>
      <c r="B19" s="40">
        <f>SUM('BON-NS'!B19,'BSL-NS'!B19,'BWA-NS'!B19,'RFA-NS'!B19)</f>
        <v>41034</v>
      </c>
      <c r="C19" s="48">
        <f>IF('BON-NS'!C19="","",SUM('BON-NS'!C19,'BSL-NS'!C19,'BWA-NS'!C19,'RFA-NS'!C19))</f>
      </c>
      <c r="D19" s="22">
        <f t="shared" si="0"/>
      </c>
      <c r="E19" s="72">
        <f t="shared" si="1"/>
      </c>
      <c r="F19" s="40">
        <f>SUM('BON-NS'!F19,'BSL-NS'!F19,'BWA-NS'!F19,'RFA-NS'!F19)</f>
        <v>36618</v>
      </c>
      <c r="G19" s="48">
        <f>IF('BON-NS'!G19="","",SUM('BON-NS'!G19,'BSL-NS'!G19,'BWA-NS'!G19,'RFA-NS'!G19))</f>
      </c>
      <c r="H19" s="22">
        <f t="shared" si="2"/>
      </c>
      <c r="I19" s="72">
        <f t="shared" si="3"/>
      </c>
      <c r="J19" s="40">
        <f>SUM('BON-NS'!J19,'BSL-NS'!J19,'BWA-NS'!J19,'RFA-NS'!J19)</f>
        <v>5604</v>
      </c>
      <c r="K19" s="48">
        <f>IF('BON-NS'!K19="","",SUM('BON-NS'!K19,'BSL-NS'!K19,'BWA-NS'!K19,'RFA-NS'!K19))</f>
      </c>
      <c r="L19" s="22">
        <f t="shared" si="4"/>
      </c>
      <c r="M19" s="72">
        <f t="shared" si="5"/>
      </c>
      <c r="N19" s="40">
        <f t="shared" si="9"/>
        <v>83256</v>
      </c>
      <c r="O19" s="35">
        <f t="shared" si="6"/>
      </c>
      <c r="P19" s="22">
        <f t="shared" si="7"/>
      </c>
      <c r="Q19" s="72">
        <f t="shared" si="8"/>
      </c>
    </row>
    <row r="20" spans="1:17" ht="11.25" customHeight="1">
      <c r="A20" s="20" t="s">
        <v>15</v>
      </c>
      <c r="B20" s="38">
        <f>SUM('BON-NS'!B20,'BSL-NS'!B20,'BWA-NS'!B20,'RFA-NS'!B20)</f>
        <v>46253</v>
      </c>
      <c r="C20" s="47">
        <f>IF('BON-NS'!C20="","",SUM('BON-NS'!C20,'BSL-NS'!C20,'BWA-NS'!C20,'RFA-NS'!C20))</f>
      </c>
      <c r="D20" s="21">
        <f t="shared" si="0"/>
      </c>
      <c r="E20" s="71">
        <f t="shared" si="1"/>
      </c>
      <c r="F20" s="38">
        <f>SUM('BON-NS'!F20,'BSL-NS'!F20,'BWA-NS'!F20,'RFA-NS'!F20)</f>
        <v>39037</v>
      </c>
      <c r="G20" s="47">
        <f>IF('BON-NS'!G20="","",SUM('BON-NS'!G20,'BSL-NS'!G20,'BWA-NS'!G20,'RFA-NS'!G20))</f>
      </c>
      <c r="H20" s="21">
        <f t="shared" si="2"/>
      </c>
      <c r="I20" s="71">
        <f t="shared" si="3"/>
      </c>
      <c r="J20" s="38">
        <f>SUM('BON-NS'!J20,'BSL-NS'!J20,'BWA-NS'!J20,'RFA-NS'!J20)</f>
        <v>6287</v>
      </c>
      <c r="K20" s="47">
        <f>IF('BON-NS'!K20="","",SUM('BON-NS'!K20,'BSL-NS'!K20,'BWA-NS'!K20,'RFA-NS'!K20))</f>
      </c>
      <c r="L20" s="21">
        <f t="shared" si="4"/>
      </c>
      <c r="M20" s="71">
        <f t="shared" si="5"/>
      </c>
      <c r="N20" s="38">
        <f t="shared" si="9"/>
        <v>91577</v>
      </c>
      <c r="O20" s="34">
        <f t="shared" si="6"/>
      </c>
      <c r="P20" s="21">
        <f t="shared" si="7"/>
      </c>
      <c r="Q20" s="71">
        <f t="shared" si="8"/>
      </c>
    </row>
    <row r="21" spans="1:17" ht="11.25" customHeight="1">
      <c r="A21" s="20" t="s">
        <v>16</v>
      </c>
      <c r="B21" s="38">
        <f>SUM('BON-NS'!B21,'BSL-NS'!B21,'BWA-NS'!B21,'RFA-NS'!B21)</f>
        <v>41888</v>
      </c>
      <c r="C21" s="47">
        <f>IF('BON-NS'!C21="","",SUM('BON-NS'!C21,'BSL-NS'!C21,'BWA-NS'!C21,'RFA-NS'!C21))</f>
      </c>
      <c r="D21" s="21">
        <f t="shared" si="0"/>
      </c>
      <c r="E21" s="71">
        <f t="shared" si="1"/>
      </c>
      <c r="F21" s="38">
        <f>SUM('BON-NS'!F21,'BSL-NS'!F21,'BWA-NS'!F21,'RFA-NS'!F21)</f>
        <v>37026</v>
      </c>
      <c r="G21" s="47">
        <f>IF('BON-NS'!G21="","",SUM('BON-NS'!G21,'BSL-NS'!G21,'BWA-NS'!G21,'RFA-NS'!G21))</f>
      </c>
      <c r="H21" s="21">
        <f t="shared" si="2"/>
      </c>
      <c r="I21" s="71">
        <f t="shared" si="3"/>
      </c>
      <c r="J21" s="38">
        <f>SUM('BON-NS'!J21,'BSL-NS'!J21,'BWA-NS'!J21,'RFA-NS'!J21)</f>
        <v>6026</v>
      </c>
      <c r="K21" s="47">
        <f>IF('BON-NS'!K21="","",SUM('BON-NS'!K21,'BSL-NS'!K21,'BWA-NS'!K21,'RFA-NS'!K21))</f>
      </c>
      <c r="L21" s="21">
        <f t="shared" si="4"/>
      </c>
      <c r="M21" s="71">
        <f t="shared" si="5"/>
      </c>
      <c r="N21" s="38">
        <f t="shared" si="9"/>
        <v>84940</v>
      </c>
      <c r="O21" s="34">
        <f t="shared" si="6"/>
      </c>
      <c r="P21" s="21">
        <f t="shared" si="7"/>
      </c>
      <c r="Q21" s="71">
        <f t="shared" si="8"/>
      </c>
    </row>
    <row r="22" spans="1:17" ht="11.25" customHeight="1" thickBot="1">
      <c r="A22" s="23" t="s">
        <v>17</v>
      </c>
      <c r="B22" s="39">
        <f>SUM('BON-NS'!B22,'BSL-NS'!B22,'BWA-NS'!B22,'RFA-NS'!B22)</f>
        <v>31667</v>
      </c>
      <c r="C22" s="49">
        <f>IF('BON-NS'!C22="","",SUM('BON-NS'!C22,'BSL-NS'!C22,'BWA-NS'!C22,'RFA-NS'!C22))</f>
      </c>
      <c r="D22" s="21">
        <f t="shared" si="0"/>
      </c>
      <c r="E22" s="57">
        <f t="shared" si="1"/>
      </c>
      <c r="F22" s="39">
        <f>SUM('BON-NS'!F22,'BSL-NS'!F22,'BWA-NS'!F22,'RFA-NS'!F22)</f>
        <v>30019</v>
      </c>
      <c r="G22" s="49">
        <f>IF('BON-NS'!G22="","",SUM('BON-NS'!G22,'BSL-NS'!G22,'BWA-NS'!G22,'RFA-NS'!G22))</f>
      </c>
      <c r="H22" s="21">
        <f t="shared" si="2"/>
      </c>
      <c r="I22" s="57">
        <f t="shared" si="3"/>
      </c>
      <c r="J22" s="39">
        <f>SUM('BON-NS'!J22,'BSL-NS'!J22,'BWA-NS'!J22,'RFA-NS'!J22)</f>
        <v>4959</v>
      </c>
      <c r="K22" s="49">
        <f>IF('BON-NS'!K22="","",SUM('BON-NS'!K22,'BSL-NS'!K22,'BWA-NS'!K22,'RFA-NS'!K22))</f>
      </c>
      <c r="L22" s="21">
        <f t="shared" si="4"/>
      </c>
      <c r="M22" s="57">
        <f t="shared" si="5"/>
      </c>
      <c r="N22" s="39">
        <f t="shared" si="9"/>
        <v>66645</v>
      </c>
      <c r="O22" s="36">
        <f t="shared" si="6"/>
      </c>
      <c r="P22" s="21">
        <f t="shared" si="7"/>
      </c>
      <c r="Q22" s="57">
        <f t="shared" si="8"/>
      </c>
    </row>
    <row r="23" spans="1:17" ht="11.25" customHeight="1" thickBot="1">
      <c r="A23" s="44" t="s">
        <v>3</v>
      </c>
      <c r="B23" s="41">
        <f>IF(C24&lt;7,B24,B25)</f>
        <v>119804</v>
      </c>
      <c r="C23" s="42">
        <f>IF(C11="","",SUM(C11:C22))</f>
        <v>119779</v>
      </c>
      <c r="D23" s="43">
        <f>IF(D11="","",SUM(D11:D22))</f>
        <v>-25</v>
      </c>
      <c r="E23" s="64">
        <f t="shared" si="1"/>
        <v>-0.0002086741678074188</v>
      </c>
      <c r="F23" s="41">
        <f>IF(G24&lt;7,F24,F25)</f>
        <v>120210</v>
      </c>
      <c r="G23" s="42">
        <f>IF(G11="","",SUM(G11:G22))</f>
        <v>109564</v>
      </c>
      <c r="H23" s="43">
        <f>IF(H11="","",SUM(H11:H22))</f>
        <v>-10646</v>
      </c>
      <c r="I23" s="64">
        <f t="shared" si="3"/>
        <v>-0.0885616837201564</v>
      </c>
      <c r="J23" s="41">
        <f>IF(K24&lt;7,J24,J25)</f>
        <v>19089</v>
      </c>
      <c r="K23" s="42">
        <f>IF(K11="","",SUM(K11:K22))</f>
        <v>16690</v>
      </c>
      <c r="L23" s="43">
        <f>IF(L11="","",SUM(L11:L22))</f>
        <v>-2399</v>
      </c>
      <c r="M23" s="64">
        <f t="shared" si="5"/>
        <v>-0.12567447220912567</v>
      </c>
      <c r="N23" s="41">
        <f>IF(O24&lt;7,N24,N25)</f>
        <v>259103</v>
      </c>
      <c r="O23" s="42">
        <f>IF(O11="","",SUM(O11:O22))</f>
        <v>246033</v>
      </c>
      <c r="P23" s="43">
        <f>IF(P11="","",SUM(P11:P22))</f>
        <v>-13070</v>
      </c>
      <c r="Q23" s="64">
        <f t="shared" si="8"/>
        <v>-0.05044326001628696</v>
      </c>
    </row>
    <row r="24" spans="1:17" ht="11.25" customHeight="1">
      <c r="A24" s="89" t="s">
        <v>28</v>
      </c>
      <c r="B24" s="94">
        <f>IF(C24=1,B11,IF(C24=2,SUM(B11:B12),IF(C24=3,SUM(B11:B13),IF(C24=4,SUM(B11:B14),IF(C24=5,SUM(B11:B15),IF(C24=6,SUM(B11:B16),""))))))</f>
        <v>119804</v>
      </c>
      <c r="C24" s="59">
        <f>COUNTIF(C11:C22,"&gt;0")</f>
        <v>3</v>
      </c>
      <c r="D24" s="59"/>
      <c r="E24" s="60"/>
      <c r="F24" s="94">
        <f>IF(G24=1,F11,IF(G24=2,SUM(F11:F12),IF(G24=3,SUM(F11:F13),IF(G24=4,SUM(F11:F14),IF(G24=5,SUM(F11:F15),IF(G24=6,SUM(F11:F16),""))))))</f>
        <v>120210</v>
      </c>
      <c r="G24" s="59">
        <f>COUNTIF(G11:G22,"&gt;0")</f>
        <v>3</v>
      </c>
      <c r="H24" s="59"/>
      <c r="I24" s="60"/>
      <c r="J24" s="94">
        <f>IF(K24=1,J11,IF(K24=2,SUM(J11:J12),IF(K24=3,SUM(J11:J13),IF(K24=4,SUM(J11:J14),IF(K24=5,SUM(J11:J15),IF(K24=6,SUM(J11:J16),""))))))</f>
        <v>19089</v>
      </c>
      <c r="K24" s="59">
        <f>COUNTIF(K11:K22,"&gt;0")</f>
        <v>3</v>
      </c>
      <c r="L24" s="59"/>
      <c r="M24" s="60"/>
      <c r="N24" s="94">
        <f>IF(O24=1,N11,IF(O24=2,SUM(N11:N12),IF(O24=3,SUM(N11:N13),IF(O24=4,SUM(N11:N14),IF(O24=5,SUM(N11:N15),IF(O24=6,SUM(N11:N16),""))))))</f>
        <v>259103</v>
      </c>
      <c r="O24" s="59">
        <f>COUNTIF(O11:O22,"&gt;0")</f>
        <v>3</v>
      </c>
      <c r="P24" s="24"/>
      <c r="Q24" s="25"/>
    </row>
    <row r="25" spans="2:14" ht="11.25" customHeight="1">
      <c r="B25" s="92">
        <f>IF(C24=7,SUM(B11:B17),IF(C24=8,SUM(B11:B18),IF(C24=9,SUM(B11:B19),IF(C24=10,SUM(B11:B20),IF(C24=11,SUM(B11:B21),SUM(B11:B22))))))</f>
        <v>486488</v>
      </c>
      <c r="F25" s="92">
        <f>IF(G24=7,SUM(F11:F17),IF(G24=8,SUM(F11:F18),IF(G24=9,SUM(F11:F19),IF(G24=10,SUM(F11:F20),IF(G24=11,SUM(F11:F21),SUM(F11:F22))))))</f>
        <v>441772</v>
      </c>
      <c r="J25" s="92">
        <f>IF(K24=7,SUM(J11:J17),IF(K24=8,SUM(J11:J18),IF(K24=9,SUM(J11:J19),IF(K24=10,SUM(J11:J20),IF(K24=11,SUM(J11:J21),SUM(J11:J22))))))</f>
        <v>71231</v>
      </c>
      <c r="N25" s="92">
        <f>IF(O24=7,SUM(N11:N17),IF(O24=8,SUM(N11:N18),IF(O24=9,SUM(N11:N19),IF(O24=10,SUM(N11:N20),IF(O24=11,SUM(N11:N21),SUM(N11:N22))))))</f>
        <v>999491</v>
      </c>
    </row>
    <row r="26" spans="1:6" ht="11.25" customHeight="1">
      <c r="A26" s="7"/>
      <c r="B26" s="121" t="s">
        <v>22</v>
      </c>
      <c r="C26" s="122"/>
      <c r="D26" s="122"/>
      <c r="E26" s="122"/>
      <c r="F26" s="9" t="s">
        <v>31</v>
      </c>
    </row>
    <row r="27" spans="2:6" ht="11.25" customHeight="1" thickBot="1">
      <c r="B27" s="123"/>
      <c r="C27" s="123"/>
      <c r="D27" s="123"/>
      <c r="E27" s="123"/>
      <c r="F27" s="2" t="s">
        <v>34</v>
      </c>
    </row>
    <row r="28" spans="1:17" ht="11.25" customHeight="1" thickBot="1">
      <c r="A28" s="26" t="s">
        <v>4</v>
      </c>
      <c r="B28" s="107" t="s">
        <v>0</v>
      </c>
      <c r="C28" s="119"/>
      <c r="D28" s="119"/>
      <c r="E28" s="120"/>
      <c r="F28" s="116" t="s">
        <v>1</v>
      </c>
      <c r="G28" s="117"/>
      <c r="H28" s="117"/>
      <c r="I28" s="118"/>
      <c r="J28" s="124" t="s">
        <v>2</v>
      </c>
      <c r="K28" s="125"/>
      <c r="L28" s="125"/>
      <c r="M28" s="125"/>
      <c r="N28" s="113" t="s">
        <v>3</v>
      </c>
      <c r="O28" s="114"/>
      <c r="P28" s="114"/>
      <c r="Q28" s="115"/>
    </row>
    <row r="29" spans="1:19" ht="11.25" customHeight="1" thickBot="1">
      <c r="A29" s="10"/>
      <c r="B29" s="50">
        <f>$B$9</f>
        <v>2012</v>
      </c>
      <c r="C29" s="51">
        <f>$C$9</f>
        <v>2013</v>
      </c>
      <c r="D29" s="110" t="s">
        <v>5</v>
      </c>
      <c r="E29" s="111"/>
      <c r="F29" s="50">
        <f>$B$9</f>
        <v>2012</v>
      </c>
      <c r="G29" s="51">
        <f>$C$9</f>
        <v>2013</v>
      </c>
      <c r="H29" s="110" t="s">
        <v>5</v>
      </c>
      <c r="I29" s="111"/>
      <c r="J29" s="50">
        <f>$B$9</f>
        <v>2012</v>
      </c>
      <c r="K29" s="51">
        <f>$C$9</f>
        <v>2013</v>
      </c>
      <c r="L29" s="110" t="s">
        <v>5</v>
      </c>
      <c r="M29" s="111"/>
      <c r="N29" s="50">
        <f>$B$9</f>
        <v>2012</v>
      </c>
      <c r="O29" s="51">
        <f>$C$9</f>
        <v>2013</v>
      </c>
      <c r="P29" s="110" t="s">
        <v>5</v>
      </c>
      <c r="Q29" s="112"/>
      <c r="R29" s="86" t="str">
        <f>RIGHT(B9,2)</f>
        <v>12</v>
      </c>
      <c r="S29" s="85" t="str">
        <f>RIGHT(C9,2)</f>
        <v>13</v>
      </c>
    </row>
    <row r="30" spans="1:19" ht="11.25" customHeight="1" thickBot="1">
      <c r="A30" s="88" t="s">
        <v>24</v>
      </c>
      <c r="B30" s="11">
        <f>T43</f>
        <v>65</v>
      </c>
      <c r="C30" s="12">
        <f>U43</f>
        <v>62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1" t="s">
        <v>23</v>
      </c>
      <c r="S30" s="132"/>
    </row>
    <row r="31" spans="1:21" ht="11.25" customHeight="1">
      <c r="A31" s="20" t="s">
        <v>6</v>
      </c>
      <c r="B31" s="78">
        <f aca="true" t="shared" si="10" ref="B31:B42">IF(C11="","",B11/$R31)</f>
        <v>1683.3636363636363</v>
      </c>
      <c r="C31" s="81">
        <f aca="true" t="shared" si="11" ref="C31:C42">IF(C11="","",C11/$S31)</f>
        <v>1748.0454545454545</v>
      </c>
      <c r="D31" s="77">
        <f aca="true" t="shared" si="12" ref="D31:D42">IF(C31="","",C31-B31)</f>
        <v>64.68181818181824</v>
      </c>
      <c r="E31" s="73">
        <f aca="true" t="shared" si="13" ref="E31:E43">IF(C31="","",(C31-B31)/ABS(B31))</f>
        <v>0.03842415078036403</v>
      </c>
      <c r="F31" s="78">
        <f aca="true" t="shared" si="14" ref="F31:F42">IF(G11="","",F11/$R31)</f>
        <v>1662.409090909091</v>
      </c>
      <c r="G31" s="81">
        <f aca="true" t="shared" si="15" ref="G31:G42">IF(G11="","",G11/$S31)</f>
        <v>1666.6818181818182</v>
      </c>
      <c r="H31" s="97">
        <f aca="true" t="shared" si="16" ref="H31:H42">IF(G31="","",G31-F31)</f>
        <v>4.272727272727252</v>
      </c>
      <c r="I31" s="73">
        <f aca="true" t="shared" si="17" ref="I31:I43">IF(G31="","",(G31-F31)/ABS(F31))</f>
        <v>0.0025702020616301517</v>
      </c>
      <c r="J31" s="78">
        <f aca="true" t="shared" si="18" ref="J31:J42">IF(K11="","",J11/$R31)</f>
        <v>275.59090909090907</v>
      </c>
      <c r="K31" s="81">
        <f aca="true" t="shared" si="19" ref="K31:K42">IF(K11="","",K11/$S31)</f>
        <v>281.77272727272725</v>
      </c>
      <c r="L31" s="97">
        <f aca="true" t="shared" si="20" ref="L31:L42">IF(K31="","",K31-J31)</f>
        <v>6.181818181818187</v>
      </c>
      <c r="M31" s="73">
        <f aca="true" t="shared" si="21" ref="M31:M43">IF(K31="","",(K31-J31)/ABS(J31))</f>
        <v>0.02243113969981859</v>
      </c>
      <c r="N31" s="78">
        <f aca="true" t="shared" si="22" ref="N31:N42">IF(O11="","",N11/$R31)</f>
        <v>3621.3636363636365</v>
      </c>
      <c r="O31" s="81">
        <f aca="true" t="shared" si="23" ref="O31:O42">IF(O11="","",O11/$S31)</f>
        <v>3696.5</v>
      </c>
      <c r="P31" s="97">
        <f aca="true" t="shared" si="24" ref="P31:P42">IF(O31="","",O31-N31)</f>
        <v>75.13636363636351</v>
      </c>
      <c r="Q31" s="71">
        <f aca="true" t="shared" si="25" ref="Q31:Q43">IF(O31="","",(O31-N31)/ABS(N31))</f>
        <v>0.020748085854148328</v>
      </c>
      <c r="R31" s="67">
        <v>22</v>
      </c>
      <c r="S31" s="68">
        <v>22</v>
      </c>
      <c r="T31" s="93">
        <f>IF(OR(N31="",N31=0),"",R31)</f>
        <v>22</v>
      </c>
      <c r="U31" s="93">
        <f>IF(OR(O31="",O31=0),"",S31)</f>
        <v>22</v>
      </c>
    </row>
    <row r="32" spans="1:21" ht="11.25" customHeight="1">
      <c r="A32" s="20" t="s">
        <v>7</v>
      </c>
      <c r="B32" s="78">
        <f t="shared" si="10"/>
        <v>1821.6190476190477</v>
      </c>
      <c r="C32" s="81">
        <f t="shared" si="11"/>
        <v>1948.35</v>
      </c>
      <c r="D32" s="77">
        <f t="shared" si="12"/>
        <v>126.7309523809522</v>
      </c>
      <c r="E32" s="73">
        <f t="shared" si="13"/>
        <v>0.06957050243111822</v>
      </c>
      <c r="F32" s="78">
        <f t="shared" si="14"/>
        <v>1914.095238095238</v>
      </c>
      <c r="G32" s="81">
        <f t="shared" si="15"/>
        <v>1758.5</v>
      </c>
      <c r="H32" s="97">
        <f t="shared" si="16"/>
        <v>-155.59523809523807</v>
      </c>
      <c r="I32" s="73">
        <f t="shared" si="17"/>
        <v>-0.0812891830032839</v>
      </c>
      <c r="J32" s="78">
        <f t="shared" si="18"/>
        <v>277.8095238095238</v>
      </c>
      <c r="K32" s="81">
        <f t="shared" si="19"/>
        <v>262.7</v>
      </c>
      <c r="L32" s="97">
        <f t="shared" si="20"/>
        <v>-15.109523809523807</v>
      </c>
      <c r="M32" s="73">
        <f t="shared" si="21"/>
        <v>-0.05438806993486458</v>
      </c>
      <c r="N32" s="78">
        <f t="shared" si="22"/>
        <v>4013.5238095238096</v>
      </c>
      <c r="O32" s="81">
        <f t="shared" si="23"/>
        <v>3969.55</v>
      </c>
      <c r="P32" s="97">
        <f t="shared" si="24"/>
        <v>-43.97380952380945</v>
      </c>
      <c r="Q32" s="71">
        <f t="shared" si="25"/>
        <v>-0.010956409282900651</v>
      </c>
      <c r="R32" s="67">
        <v>21</v>
      </c>
      <c r="S32" s="68">
        <v>20</v>
      </c>
      <c r="T32" s="93">
        <f aca="true" t="shared" si="26" ref="T32:U42">IF(OR(N32="",N32=0),"",R32)</f>
        <v>21</v>
      </c>
      <c r="U32" s="93">
        <f t="shared" si="26"/>
        <v>20</v>
      </c>
    </row>
    <row r="33" spans="1:21" ht="11.25" customHeight="1">
      <c r="A33" s="20" t="s">
        <v>8</v>
      </c>
      <c r="B33" s="79">
        <f t="shared" si="10"/>
        <v>2023.4545454545455</v>
      </c>
      <c r="C33" s="82">
        <f t="shared" si="11"/>
        <v>2117.75</v>
      </c>
      <c r="D33" s="84">
        <f t="shared" si="12"/>
        <v>94.2954545454545</v>
      </c>
      <c r="E33" s="74">
        <f t="shared" si="13"/>
        <v>0.04660122203252761</v>
      </c>
      <c r="F33" s="79">
        <f t="shared" si="14"/>
        <v>1974.590909090909</v>
      </c>
      <c r="G33" s="82">
        <f t="shared" si="15"/>
        <v>1886.35</v>
      </c>
      <c r="H33" s="98">
        <f t="shared" si="16"/>
        <v>-88.2409090909091</v>
      </c>
      <c r="I33" s="74">
        <f t="shared" si="17"/>
        <v>-0.04468819778550218</v>
      </c>
      <c r="J33" s="79">
        <f t="shared" si="18"/>
        <v>326.90909090909093</v>
      </c>
      <c r="K33" s="82">
        <f t="shared" si="19"/>
        <v>261.85</v>
      </c>
      <c r="L33" s="98">
        <f t="shared" si="20"/>
        <v>-65.05909090909091</v>
      </c>
      <c r="M33" s="74">
        <f t="shared" si="21"/>
        <v>-0.19901279199110122</v>
      </c>
      <c r="N33" s="79">
        <f t="shared" si="22"/>
        <v>4324.954545454545</v>
      </c>
      <c r="O33" s="82">
        <f t="shared" si="23"/>
        <v>4265.95</v>
      </c>
      <c r="P33" s="98">
        <f t="shared" si="24"/>
        <v>-59.00454545454522</v>
      </c>
      <c r="Q33" s="72">
        <f t="shared" si="25"/>
        <v>-0.013642812851422454</v>
      </c>
      <c r="R33" s="69">
        <v>22</v>
      </c>
      <c r="S33" s="103">
        <v>20</v>
      </c>
      <c r="T33" s="93">
        <f t="shared" si="26"/>
        <v>22</v>
      </c>
      <c r="U33" s="93">
        <f t="shared" si="26"/>
        <v>20</v>
      </c>
    </row>
    <row r="34" spans="1:21" ht="11.25" customHeight="1">
      <c r="A34" s="20" t="s">
        <v>9</v>
      </c>
      <c r="B34" s="78">
        <f t="shared" si="10"/>
      </c>
      <c r="C34" s="81">
        <f t="shared" si="11"/>
      </c>
      <c r="D34" s="77">
        <f t="shared" si="12"/>
      </c>
      <c r="E34" s="73">
        <f t="shared" si="13"/>
      </c>
      <c r="F34" s="78">
        <f t="shared" si="14"/>
      </c>
      <c r="G34" s="81">
        <f t="shared" si="15"/>
      </c>
      <c r="H34" s="97">
        <f t="shared" si="16"/>
      </c>
      <c r="I34" s="73">
        <f t="shared" si="17"/>
      </c>
      <c r="J34" s="78">
        <f t="shared" si="18"/>
      </c>
      <c r="K34" s="81">
        <f t="shared" si="19"/>
      </c>
      <c r="L34" s="97">
        <f t="shared" si="20"/>
      </c>
      <c r="M34" s="73">
        <f t="shared" si="21"/>
      </c>
      <c r="N34" s="78">
        <f t="shared" si="22"/>
      </c>
      <c r="O34" s="81">
        <f t="shared" si="23"/>
      </c>
      <c r="P34" s="97">
        <f t="shared" si="24"/>
      </c>
      <c r="Q34" s="71">
        <f t="shared" si="25"/>
      </c>
      <c r="R34" s="67">
        <v>19</v>
      </c>
      <c r="S34" s="68">
        <v>21</v>
      </c>
      <c r="T34" s="93">
        <f t="shared" si="26"/>
      </c>
      <c r="U34" s="93">
        <f t="shared" si="26"/>
      </c>
    </row>
    <row r="35" spans="1:21" ht="11.25" customHeight="1">
      <c r="A35" s="20" t="s">
        <v>10</v>
      </c>
      <c r="B35" s="78">
        <f t="shared" si="10"/>
      </c>
      <c r="C35" s="81">
        <f t="shared" si="11"/>
      </c>
      <c r="D35" s="77">
        <f t="shared" si="12"/>
      </c>
      <c r="E35" s="73">
        <f t="shared" si="13"/>
      </c>
      <c r="F35" s="78">
        <f t="shared" si="14"/>
      </c>
      <c r="G35" s="81">
        <f t="shared" si="15"/>
      </c>
      <c r="H35" s="97">
        <f t="shared" si="16"/>
      </c>
      <c r="I35" s="73">
        <f t="shared" si="17"/>
      </c>
      <c r="J35" s="78">
        <f t="shared" si="18"/>
      </c>
      <c r="K35" s="81">
        <f t="shared" si="19"/>
      </c>
      <c r="L35" s="97">
        <f t="shared" si="20"/>
      </c>
      <c r="M35" s="73">
        <f t="shared" si="21"/>
      </c>
      <c r="N35" s="78">
        <f t="shared" si="22"/>
      </c>
      <c r="O35" s="81">
        <f t="shared" si="23"/>
      </c>
      <c r="P35" s="97">
        <f t="shared" si="24"/>
      </c>
      <c r="Q35" s="71">
        <f t="shared" si="25"/>
      </c>
      <c r="R35" s="67">
        <v>20</v>
      </c>
      <c r="S35" s="68">
        <v>20</v>
      </c>
      <c r="T35" s="93">
        <f t="shared" si="26"/>
      </c>
      <c r="U35" s="93">
        <f t="shared" si="26"/>
      </c>
    </row>
    <row r="36" spans="1:21" ht="11.25" customHeight="1">
      <c r="A36" s="20" t="s">
        <v>11</v>
      </c>
      <c r="B36" s="79">
        <f t="shared" si="10"/>
      </c>
      <c r="C36" s="82">
        <f t="shared" si="11"/>
      </c>
      <c r="D36" s="84">
        <f t="shared" si="12"/>
      </c>
      <c r="E36" s="74">
        <f t="shared" si="13"/>
      </c>
      <c r="F36" s="79">
        <f t="shared" si="14"/>
      </c>
      <c r="G36" s="82">
        <f t="shared" si="15"/>
      </c>
      <c r="H36" s="98">
        <f t="shared" si="16"/>
      </c>
      <c r="I36" s="74">
        <f t="shared" si="17"/>
      </c>
      <c r="J36" s="79">
        <f t="shared" si="18"/>
      </c>
      <c r="K36" s="82">
        <f t="shared" si="19"/>
      </c>
      <c r="L36" s="98">
        <f t="shared" si="20"/>
      </c>
      <c r="M36" s="74">
        <f t="shared" si="21"/>
      </c>
      <c r="N36" s="79">
        <f t="shared" si="22"/>
      </c>
      <c r="O36" s="82">
        <f t="shared" si="23"/>
      </c>
      <c r="P36" s="98">
        <f t="shared" si="24"/>
      </c>
      <c r="Q36" s="72">
        <f t="shared" si="25"/>
      </c>
      <c r="R36" s="69">
        <v>21</v>
      </c>
      <c r="S36" s="103">
        <v>20</v>
      </c>
      <c r="T36" s="93">
        <f t="shared" si="26"/>
      </c>
      <c r="U36" s="93">
        <f t="shared" si="26"/>
      </c>
    </row>
    <row r="37" spans="1:21" ht="11.25" customHeight="1">
      <c r="A37" s="20" t="s">
        <v>12</v>
      </c>
      <c r="B37" s="78">
        <f t="shared" si="10"/>
      </c>
      <c r="C37" s="81">
        <f t="shared" si="11"/>
      </c>
      <c r="D37" s="77">
        <f t="shared" si="12"/>
      </c>
      <c r="E37" s="73">
        <f t="shared" si="13"/>
      </c>
      <c r="F37" s="78">
        <f t="shared" si="14"/>
      </c>
      <c r="G37" s="81">
        <f t="shared" si="15"/>
      </c>
      <c r="H37" s="97">
        <f t="shared" si="16"/>
      </c>
      <c r="I37" s="73">
        <f t="shared" si="17"/>
      </c>
      <c r="J37" s="78">
        <f t="shared" si="18"/>
      </c>
      <c r="K37" s="81">
        <f t="shared" si="19"/>
      </c>
      <c r="L37" s="97">
        <f t="shared" si="20"/>
      </c>
      <c r="M37" s="73">
        <f t="shared" si="21"/>
      </c>
      <c r="N37" s="78">
        <f t="shared" si="22"/>
      </c>
      <c r="O37" s="81">
        <f t="shared" si="23"/>
      </c>
      <c r="P37" s="97">
        <f t="shared" si="24"/>
      </c>
      <c r="Q37" s="71">
        <f t="shared" si="25"/>
      </c>
      <c r="R37" s="67">
        <v>22</v>
      </c>
      <c r="S37" s="68">
        <v>23</v>
      </c>
      <c r="T37" s="93">
        <f t="shared" si="26"/>
      </c>
      <c r="U37" s="93">
        <f t="shared" si="26"/>
      </c>
    </row>
    <row r="38" spans="1:21" ht="11.25" customHeight="1">
      <c r="A38" s="20" t="s">
        <v>13</v>
      </c>
      <c r="B38" s="78">
        <f t="shared" si="10"/>
      </c>
      <c r="C38" s="81">
        <f t="shared" si="11"/>
      </c>
      <c r="D38" s="77">
        <f t="shared" si="12"/>
      </c>
      <c r="E38" s="73">
        <f t="shared" si="13"/>
      </c>
      <c r="F38" s="78">
        <f t="shared" si="14"/>
      </c>
      <c r="G38" s="81">
        <f t="shared" si="15"/>
      </c>
      <c r="H38" s="97">
        <f t="shared" si="16"/>
      </c>
      <c r="I38" s="73">
        <f t="shared" si="17"/>
      </c>
      <c r="J38" s="78">
        <f t="shared" si="18"/>
      </c>
      <c r="K38" s="81">
        <f t="shared" si="19"/>
      </c>
      <c r="L38" s="97">
        <f t="shared" si="20"/>
      </c>
      <c r="M38" s="73">
        <f t="shared" si="21"/>
      </c>
      <c r="N38" s="78">
        <f t="shared" si="22"/>
      </c>
      <c r="O38" s="81">
        <f t="shared" si="23"/>
      </c>
      <c r="P38" s="97">
        <f t="shared" si="24"/>
      </c>
      <c r="Q38" s="71">
        <f t="shared" si="25"/>
      </c>
      <c r="R38" s="67">
        <v>22</v>
      </c>
      <c r="S38" s="68">
        <v>21</v>
      </c>
      <c r="T38" s="93">
        <f t="shared" si="26"/>
      </c>
      <c r="U38" s="93">
        <f t="shared" si="26"/>
      </c>
    </row>
    <row r="39" spans="1:21" ht="11.25" customHeight="1">
      <c r="A39" s="20" t="s">
        <v>14</v>
      </c>
      <c r="B39" s="79">
        <f t="shared" si="10"/>
      </c>
      <c r="C39" s="82">
        <f t="shared" si="11"/>
      </c>
      <c r="D39" s="84">
        <f t="shared" si="12"/>
      </c>
      <c r="E39" s="74">
        <f t="shared" si="13"/>
      </c>
      <c r="F39" s="79">
        <f t="shared" si="14"/>
      </c>
      <c r="G39" s="82">
        <f t="shared" si="15"/>
      </c>
      <c r="H39" s="98">
        <f t="shared" si="16"/>
      </c>
      <c r="I39" s="74">
        <f t="shared" si="17"/>
      </c>
      <c r="J39" s="79">
        <f t="shared" si="18"/>
      </c>
      <c r="K39" s="82">
        <f t="shared" si="19"/>
      </c>
      <c r="L39" s="98">
        <f t="shared" si="20"/>
      </c>
      <c r="M39" s="74">
        <f t="shared" si="21"/>
      </c>
      <c r="N39" s="79">
        <f t="shared" si="22"/>
      </c>
      <c r="O39" s="82">
        <f t="shared" si="23"/>
      </c>
      <c r="P39" s="98">
        <f t="shared" si="24"/>
      </c>
      <c r="Q39" s="72">
        <f t="shared" si="25"/>
      </c>
      <c r="R39" s="69">
        <v>20</v>
      </c>
      <c r="S39" s="103">
        <v>21</v>
      </c>
      <c r="T39" s="93">
        <f t="shared" si="26"/>
      </c>
      <c r="U39" s="93">
        <f t="shared" si="26"/>
      </c>
    </row>
    <row r="40" spans="1:21" ht="11.25" customHeight="1">
      <c r="A40" s="20" t="s">
        <v>15</v>
      </c>
      <c r="B40" s="78">
        <f t="shared" si="10"/>
      </c>
      <c r="C40" s="81">
        <f t="shared" si="11"/>
      </c>
      <c r="D40" s="77">
        <f t="shared" si="12"/>
      </c>
      <c r="E40" s="73">
        <f t="shared" si="13"/>
      </c>
      <c r="F40" s="78">
        <f t="shared" si="14"/>
      </c>
      <c r="G40" s="81">
        <f t="shared" si="15"/>
      </c>
      <c r="H40" s="97">
        <f t="shared" si="16"/>
      </c>
      <c r="I40" s="73">
        <f t="shared" si="17"/>
      </c>
      <c r="J40" s="78">
        <f t="shared" si="18"/>
      </c>
      <c r="K40" s="81">
        <f t="shared" si="19"/>
      </c>
      <c r="L40" s="97">
        <f t="shared" si="20"/>
      </c>
      <c r="M40" s="73">
        <f t="shared" si="21"/>
      </c>
      <c r="N40" s="78">
        <f t="shared" si="22"/>
      </c>
      <c r="O40" s="81">
        <f t="shared" si="23"/>
      </c>
      <c r="P40" s="97">
        <f t="shared" si="24"/>
      </c>
      <c r="Q40" s="71">
        <f t="shared" si="25"/>
      </c>
      <c r="R40" s="67">
        <v>23</v>
      </c>
      <c r="S40" s="68">
        <v>23</v>
      </c>
      <c r="T40" s="93">
        <f t="shared" si="26"/>
      </c>
      <c r="U40" s="93">
        <f t="shared" si="26"/>
      </c>
    </row>
    <row r="41" spans="1:21" ht="11.25" customHeight="1">
      <c r="A41" s="20" t="s">
        <v>16</v>
      </c>
      <c r="B41" s="78">
        <f t="shared" si="10"/>
      </c>
      <c r="C41" s="81">
        <f t="shared" si="11"/>
      </c>
      <c r="D41" s="77">
        <f t="shared" si="12"/>
      </c>
      <c r="E41" s="73">
        <f t="shared" si="13"/>
      </c>
      <c r="F41" s="78">
        <f t="shared" si="14"/>
      </c>
      <c r="G41" s="81">
        <f t="shared" si="15"/>
      </c>
      <c r="H41" s="97">
        <f t="shared" si="16"/>
      </c>
      <c r="I41" s="73">
        <f t="shared" si="17"/>
      </c>
      <c r="J41" s="78">
        <f t="shared" si="18"/>
      </c>
      <c r="K41" s="81">
        <f t="shared" si="19"/>
      </c>
      <c r="L41" s="97">
        <f t="shared" si="20"/>
      </c>
      <c r="M41" s="73">
        <f t="shared" si="21"/>
      </c>
      <c r="N41" s="78">
        <f t="shared" si="22"/>
      </c>
      <c r="O41" s="81">
        <f t="shared" si="23"/>
      </c>
      <c r="P41" s="97">
        <f t="shared" si="24"/>
      </c>
      <c r="Q41" s="71">
        <f t="shared" si="25"/>
      </c>
      <c r="R41" s="67">
        <v>22</v>
      </c>
      <c r="S41" s="68">
        <v>21</v>
      </c>
      <c r="T41" s="93">
        <f t="shared" si="26"/>
      </c>
      <c r="U41" s="93">
        <f t="shared" si="26"/>
      </c>
    </row>
    <row r="42" spans="1:21" ht="11.25" customHeight="1" thickBot="1">
      <c r="A42" s="20" t="s">
        <v>17</v>
      </c>
      <c r="B42" s="78">
        <f t="shared" si="10"/>
      </c>
      <c r="C42" s="81">
        <f t="shared" si="11"/>
      </c>
      <c r="D42" s="77">
        <f t="shared" si="12"/>
      </c>
      <c r="E42" s="73">
        <f t="shared" si="13"/>
      </c>
      <c r="F42" s="78">
        <f t="shared" si="14"/>
      </c>
      <c r="G42" s="81">
        <f t="shared" si="15"/>
      </c>
      <c r="H42" s="97">
        <f t="shared" si="16"/>
      </c>
      <c r="I42" s="73">
        <f t="shared" si="17"/>
      </c>
      <c r="J42" s="78">
        <f t="shared" si="18"/>
      </c>
      <c r="K42" s="81">
        <f t="shared" si="19"/>
      </c>
      <c r="L42" s="97">
        <f t="shared" si="20"/>
      </c>
      <c r="M42" s="73">
        <f t="shared" si="21"/>
      </c>
      <c r="N42" s="78">
        <f t="shared" si="22"/>
      </c>
      <c r="O42" s="81">
        <f t="shared" si="23"/>
      </c>
      <c r="P42" s="97">
        <f t="shared" si="24"/>
      </c>
      <c r="Q42" s="71">
        <f t="shared" si="25"/>
      </c>
      <c r="R42" s="67">
        <v>19</v>
      </c>
      <c r="S42" s="68">
        <v>20</v>
      </c>
      <c r="T42" s="93">
        <f t="shared" si="26"/>
      </c>
      <c r="U42" s="93">
        <f t="shared" si="26"/>
      </c>
    </row>
    <row r="43" spans="1:21" ht="11.25" customHeight="1" thickBot="1">
      <c r="A43" s="91" t="s">
        <v>29</v>
      </c>
      <c r="B43" s="80">
        <f>AVERAGE(B31:B42)</f>
        <v>1842.81240981241</v>
      </c>
      <c r="C43" s="83">
        <f>IF(C11="","",AVERAGE(C31:C42))</f>
        <v>1938.0484848484848</v>
      </c>
      <c r="D43" s="75">
        <f>IF(D31="","",AVERAGE(D31:D42))</f>
        <v>95.23607503607498</v>
      </c>
      <c r="E43" s="65">
        <f t="shared" si="13"/>
        <v>0.0516797447906103</v>
      </c>
      <c r="F43" s="80">
        <f>AVERAGE(F31:F42)</f>
        <v>1850.3650793650795</v>
      </c>
      <c r="G43" s="83">
        <f>IF(G11="","",AVERAGE(G31:G42))</f>
        <v>1770.510606060606</v>
      </c>
      <c r="H43" s="99">
        <f>IF(H31="","",AVERAGE(H31:H42))</f>
        <v>-79.8544733044733</v>
      </c>
      <c r="I43" s="65">
        <f t="shared" si="17"/>
        <v>-0.043156063738445674</v>
      </c>
      <c r="J43" s="80">
        <f>AVERAGE(J31:J42)</f>
        <v>293.43650793650795</v>
      </c>
      <c r="K43" s="83">
        <f>IF(K11="","",AVERAGE(K31:K42))</f>
        <v>268.77424242424246</v>
      </c>
      <c r="L43" s="99">
        <f>IF(L31="","",AVERAGE(L31:L42))</f>
        <v>-24.66226551226551</v>
      </c>
      <c r="M43" s="65">
        <f t="shared" si="21"/>
        <v>-0.0840463434004666</v>
      </c>
      <c r="N43" s="80">
        <f>AVERAGE(N31:N42)</f>
        <v>3986.613997113997</v>
      </c>
      <c r="O43" s="83">
        <f>IF(O11="","",AVERAGE(O31:O42))</f>
        <v>3977.3333333333335</v>
      </c>
      <c r="P43" s="99">
        <f>IF(P31="","",AVERAGE(P31:P42))</f>
        <v>-9.28066378066372</v>
      </c>
      <c r="Q43" s="66">
        <f t="shared" si="25"/>
        <v>-0.0023279564531158287</v>
      </c>
      <c r="R43" s="70">
        <f>SUM(R31:R42)</f>
        <v>253</v>
      </c>
      <c r="S43" s="104">
        <f>SUM(S31:S42)</f>
        <v>252</v>
      </c>
      <c r="T43" s="93">
        <f>SUM(T31:T42)</f>
        <v>65</v>
      </c>
      <c r="U43" s="92">
        <f>SUM(U31:U42)</f>
        <v>62</v>
      </c>
    </row>
    <row r="44" spans="1:17" s="30" customFormat="1" ht="11.25" customHeight="1">
      <c r="A44" s="90" t="s">
        <v>28</v>
      </c>
      <c r="B44" s="37"/>
      <c r="C44" s="61">
        <f>COUNTIF(C31:C42,"&gt;0")</f>
        <v>3</v>
      </c>
      <c r="D44" s="62"/>
      <c r="E44" s="63"/>
      <c r="F44" s="61"/>
      <c r="G44" s="61">
        <f>COUNTIF(G31:G42,"&gt;0")</f>
        <v>3</v>
      </c>
      <c r="H44" s="62"/>
      <c r="I44" s="63"/>
      <c r="J44" s="61"/>
      <c r="K44" s="61">
        <f>COUNTIF(K31:K42,"&gt;0")</f>
        <v>3</v>
      </c>
      <c r="L44" s="62"/>
      <c r="M44" s="63"/>
      <c r="N44" s="61"/>
      <c r="O44" s="61">
        <f>COUNTIF(O31:O42,"&gt;0")</f>
        <v>3</v>
      </c>
      <c r="P44" s="28"/>
      <c r="Q44" s="58"/>
    </row>
    <row r="45" spans="1:15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1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/>
  <mergeCells count="22">
    <mergeCell ref="F28:I28"/>
    <mergeCell ref="J28:M28"/>
    <mergeCell ref="B26:E27"/>
    <mergeCell ref="D29:E29"/>
    <mergeCell ref="H29:I29"/>
    <mergeCell ref="L29:M29"/>
    <mergeCell ref="J8:M8"/>
    <mergeCell ref="B8:E8"/>
    <mergeCell ref="H9:I9"/>
    <mergeCell ref="R30:S30"/>
    <mergeCell ref="P29:Q29"/>
    <mergeCell ref="P9:Q9"/>
    <mergeCell ref="B2:E2"/>
    <mergeCell ref="D3:E3"/>
    <mergeCell ref="B3:C3"/>
    <mergeCell ref="B6:E7"/>
    <mergeCell ref="B28:E28"/>
    <mergeCell ref="N8:Q8"/>
    <mergeCell ref="D9:E9"/>
    <mergeCell ref="N28:Q28"/>
    <mergeCell ref="L9:M9"/>
    <mergeCell ref="F8:I8"/>
  </mergeCells>
  <conditionalFormatting sqref="S31:S43">
    <cfRule type="expression" priority="3" dxfId="1" stopIfTrue="1">
      <formula>S31&lt;$R31</formula>
    </cfRule>
    <cfRule type="expression" priority="4" dxfId="0" stopIfTrue="1">
      <formula>S31&gt;$R31</formula>
    </cfRule>
  </conditionalFormatting>
  <conditionalFormatting sqref="B14:B21 F12:F22 J12:J22 N12:N22">
    <cfRule type="expression" priority="5" dxfId="2" stopIfTrue="1">
      <formula>C12=""</formula>
    </cfRule>
  </conditionalFormatting>
  <conditionalFormatting sqref="B22 B12:B13">
    <cfRule type="expression" priority="6" dxfId="2" stopIfTrue="1">
      <formula>C12=""</formula>
    </cfRule>
  </conditionalFormatting>
  <conditionalFormatting sqref="S31:S42">
    <cfRule type="expression" priority="1" dxfId="1" stopIfTrue="1">
      <formula>S31&lt;$R31</formula>
    </cfRule>
    <cfRule type="expression" priority="2" dxfId="0" stopIfTrue="1">
      <formula>S31&gt;$R31</formula>
    </cfRule>
  </conditionalFormatting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2"/>
  <headerFooter alignWithMargins="0">
    <oddFooter>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Zollkreisdirektion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subject/>
  <dc:creator>Kerstin Matthusen</dc:creator>
  <cp:keywords/>
  <dc:description>Jahre 2006 2007</dc:description>
  <cp:lastModifiedBy>U80732160</cp:lastModifiedBy>
  <cp:lastPrinted>2013-04-09T06:52:49Z</cp:lastPrinted>
  <dcterms:created xsi:type="dcterms:W3CDTF">2001-04-11T08:03:28Z</dcterms:created>
  <dcterms:modified xsi:type="dcterms:W3CDTF">2013-04-09T07:25:59Z</dcterms:modified>
  <cp:category/>
  <cp:version/>
  <cp:contentType/>
  <cp:contentStatus/>
</cp:coreProperties>
</file>