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340" windowHeight="9120" tabRatio="601" firstSheet="2" activeTab="9"/>
  </bookViews>
  <sheets>
    <sheet name="BON-NS" sheetId="1" r:id="rId1"/>
    <sheet name="BON-SN" sheetId="2" r:id="rId2"/>
    <sheet name="BSL-NS" sheetId="3" r:id="rId3"/>
    <sheet name="BSL-SN" sheetId="4" r:id="rId4"/>
    <sheet name="BWA-NS" sheetId="5" r:id="rId5"/>
    <sheet name="BWA-SN" sheetId="6" r:id="rId6"/>
    <sheet name="RFA-NS" sheetId="7" r:id="rId7"/>
    <sheet name="RFA-SN" sheetId="8" r:id="rId8"/>
    <sheet name="TTL-NS" sheetId="9" r:id="rId9"/>
    <sheet name="TTL-SN" sheetId="10" r:id="rId10"/>
    <sheet name="TTL-FZ" sheetId="11" r:id="rId11"/>
    <sheet name="Balkendiagramm" sheetId="12" r:id="rId12"/>
  </sheets>
  <definedNames>
    <definedName name="_xlnm.Print_Area" localSheetId="0">'BON-NS'!$A$1:$S$44</definedName>
    <definedName name="_xlnm.Print_Area" localSheetId="1">'BON-SN'!$A$1:$S$44</definedName>
    <definedName name="_xlnm.Print_Area" localSheetId="2">'BSL-NS'!$A$1:$S$44</definedName>
    <definedName name="_xlnm.Print_Area" localSheetId="3">'BSL-SN'!$A$1:$S$44</definedName>
    <definedName name="_xlnm.Print_Area" localSheetId="4">'BWA-NS'!$A$1:$S$44</definedName>
    <definedName name="_xlnm.Print_Area" localSheetId="5">'BWA-SN'!$A$1:$S$44</definedName>
    <definedName name="_xlnm.Print_Area" localSheetId="6">'RFA-NS'!$A$1:$S$44</definedName>
    <definedName name="_xlnm.Print_Area" localSheetId="7">'RFA-SN'!$A$1:$S$44</definedName>
    <definedName name="_xlnm.Print_Area" localSheetId="10">'TTL-FZ'!$A$1:$S$45</definedName>
    <definedName name="_xlnm.Print_Area" localSheetId="8">'TTL-NS'!$A$1:$S$44</definedName>
    <definedName name="_xlnm.Print_Area" localSheetId="9">'TTL-SN'!$A$1:$S$44</definedName>
  </definedNames>
  <calcPr fullCalcOnLoad="1"/>
</workbook>
</file>

<file path=xl/sharedStrings.xml><?xml version="1.0" encoding="utf-8"?>
<sst xmlns="http://schemas.openxmlformats.org/spreadsheetml/2006/main" count="752" uniqueCount="55">
  <si>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</si>
  <si>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</si>
  <si>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</si>
  <si>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</si>
  <si>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</si>
  <si>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</si>
  <si>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</si>
  <si>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</si>
  <si>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</si>
  <si>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</si>
  <si>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</si>
  <si>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</si>
  <si>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</si>
  <si>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</si>
  <si>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</si>
  <si>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</si>
  <si>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</si>
  <si>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</si>
  <si>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</si>
  <si>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</si>
  <si>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</si>
  <si>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</si>
  <si>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</si>
  <si>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</si>
  <si>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</si>
  <si>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</si>
  <si>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</si>
  <si>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</si>
  <si>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</si>
  <si>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</si>
  <si>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</si>
  <si>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</si>
  <si>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</si>
  <si>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</si>
  <si>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</si>
  <si>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BWA</t>
  </si>
  <si>
    <t>N-S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</si>
  <si>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</si>
  <si>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</si>
  <si>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</si>
  <si>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</si>
  <si>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</si>
  <si>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</si>
  <si>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</si>
  <si>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</si>
  <si>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</si>
  <si>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</si>
  <si>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</si>
  <si>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Verz</t>
  </si>
  <si>
    <t>S-N</t>
  </si>
  <si>
    <t>Rheinfelden Autobahn</t>
  </si>
  <si>
    <t>RFA</t>
  </si>
  <si>
    <t>BSL</t>
  </si>
  <si>
    <t>Boncourt</t>
  </si>
  <si>
    <t>BON | BSL | BWA | RFA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</si>
</sst>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0.0%"/>
    <numFmt numFmtId="179" formatCode="0.0"/>
    <numFmt numFmtId="180" formatCode="0.0000"/>
    <numFmt numFmtId="181" formatCode="0.000"/>
    <numFmt numFmtId="182" formatCode="_ * #,##0.0_ ;_ * \-#,##0.0_ ;_ * &quot;-&quot;??_ ;_ @_ "/>
    <numFmt numFmtId="183" formatCode="_ * #,##0_ ;_ * \-#,##0_ ;_ * &quot;-&quot;??_ ;_ @_ "/>
    <numFmt numFmtId="184" formatCode="_ * #,##0.0_ ;_ * \-#,##0.0_ ;_ * &quot;-&quot;?_ ;_ @_ "/>
    <numFmt numFmtId="185" formatCode="0.0%;[Red]\-0.0%"/>
    <numFmt numFmtId="186" formatCode="&quot;Tage&quot;\ ##0"/>
    <numFmt numFmtId="187" formatCode="##0\ &quot;Tg&quot;"/>
    <numFmt numFmtId="188" formatCode="0.00%;[Red]\-0.00%"/>
    <numFmt numFmtId="189" formatCode="#,##0.0"/>
    <numFmt numFmtId="190" formatCode="#,##0.0;[Red]\-#,##0.0"/>
    <numFmt numFmtId="191" formatCode="#,##0.000;[Red]\-#,##0.000"/>
    <numFmt numFmtId="192" formatCode="#,##0.0000;[Red]\-#,##0.0000"/>
    <numFmt numFmtId="193" formatCode="yy"/>
    <numFmt numFmtId="194" formatCode="yyyy"/>
    <numFmt numFmtId="195" formatCode="#,##0.0_ ;[Red]\-#,##0.0\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0"/>
    </font>
    <font>
      <sz val="4"/>
      <color indexed="8"/>
      <name val="Arial"/>
      <family val="0"/>
    </font>
    <font>
      <sz val="18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43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5" fillId="34" borderId="12" xfId="0" applyNumberFormat="1" applyFont="1" applyFill="1" applyBorder="1" applyAlignment="1" applyProtection="1">
      <alignment/>
      <protection hidden="1"/>
    </xf>
    <xf numFmtId="0" fontId="5" fillId="35" borderId="13" xfId="0" applyNumberFormat="1" applyFont="1" applyFill="1" applyBorder="1" applyAlignment="1" applyProtection="1">
      <alignment/>
      <protection hidden="1"/>
    </xf>
    <xf numFmtId="0" fontId="1" fillId="36" borderId="14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38" fontId="2" fillId="36" borderId="16" xfId="0" applyNumberFormat="1" applyFont="1" applyFill="1" applyBorder="1" applyAlignment="1" applyProtection="1">
      <alignment/>
      <protection hidden="1"/>
    </xf>
    <xf numFmtId="38" fontId="2" fillId="36" borderId="19" xfId="0" applyNumberFormat="1" applyFont="1" applyFill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9" fontId="2" fillId="0" borderId="0" xfId="5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/>
      <protection hidden="1"/>
    </xf>
    <xf numFmtId="38" fontId="2" fillId="0" borderId="22" xfId="0" applyNumberFormat="1" applyFont="1" applyFill="1" applyBorder="1" applyAlignment="1" applyProtection="1">
      <alignment/>
      <protection hidden="1"/>
    </xf>
    <xf numFmtId="185" fontId="2" fillId="0" borderId="22" xfId="51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locked="0"/>
    </xf>
    <xf numFmtId="3" fontId="2" fillId="35" borderId="19" xfId="0" applyNumberFormat="1" applyFont="1" applyFill="1" applyBorder="1" applyAlignment="1" applyProtection="1">
      <alignment/>
      <protection locked="0"/>
    </xf>
    <xf numFmtId="3" fontId="2" fillId="35" borderId="23" xfId="0" applyNumberFormat="1" applyFont="1" applyFill="1" applyBorder="1" applyAlignment="1" applyProtection="1">
      <alignment/>
      <protection locked="0"/>
    </xf>
    <xf numFmtId="3" fontId="2" fillId="35" borderId="16" xfId="0" applyNumberFormat="1" applyFont="1" applyFill="1" applyBorder="1" applyAlignment="1" applyProtection="1">
      <alignment/>
      <protection hidden="1"/>
    </xf>
    <xf numFmtId="3" fontId="2" fillId="35" borderId="19" xfId="0" applyNumberFormat="1" applyFont="1" applyFill="1" applyBorder="1" applyAlignment="1" applyProtection="1">
      <alignment/>
      <protection hidden="1"/>
    </xf>
    <xf numFmtId="3" fontId="2" fillId="35" borderId="23" xfId="0" applyNumberFormat="1" applyFont="1" applyFill="1" applyBorder="1" applyAlignment="1" applyProtection="1">
      <alignment/>
      <protection hidden="1"/>
    </xf>
    <xf numFmtId="3" fontId="2" fillId="0" borderId="22" xfId="0" applyNumberFormat="1" applyFont="1" applyFill="1" applyBorder="1" applyAlignment="1" applyProtection="1">
      <alignment/>
      <protection hidden="1"/>
    </xf>
    <xf numFmtId="3" fontId="2" fillId="34" borderId="16" xfId="0" applyNumberFormat="1" applyFont="1" applyFill="1" applyBorder="1" applyAlignment="1" applyProtection="1">
      <alignment/>
      <protection hidden="1"/>
    </xf>
    <xf numFmtId="3" fontId="2" fillId="34" borderId="23" xfId="0" applyNumberFormat="1" applyFont="1" applyFill="1" applyBorder="1" applyAlignment="1" applyProtection="1">
      <alignment/>
      <protection hidden="1"/>
    </xf>
    <xf numFmtId="3" fontId="2" fillId="34" borderId="19" xfId="0" applyNumberFormat="1" applyFont="1" applyFill="1" applyBorder="1" applyAlignment="1" applyProtection="1">
      <alignment/>
      <protection hidden="1"/>
    </xf>
    <xf numFmtId="3" fontId="1" fillId="34" borderId="24" xfId="0" applyNumberFormat="1" applyFont="1" applyFill="1" applyBorder="1" applyAlignment="1" applyProtection="1">
      <alignment/>
      <protection hidden="1"/>
    </xf>
    <xf numFmtId="3" fontId="1" fillId="35" borderId="25" xfId="0" applyNumberFormat="1" applyFont="1" applyFill="1" applyBorder="1" applyAlignment="1" applyProtection="1">
      <alignment/>
      <protection hidden="1"/>
    </xf>
    <xf numFmtId="38" fontId="1" fillId="36" borderId="25" xfId="0" applyNumberFormat="1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hidden="1" locked="0"/>
    </xf>
    <xf numFmtId="3" fontId="2" fillId="35" borderId="19" xfId="0" applyNumberFormat="1" applyFont="1" applyFill="1" applyBorder="1" applyAlignment="1" applyProtection="1">
      <alignment/>
      <protection hidden="1" locked="0"/>
    </xf>
    <xf numFmtId="3" fontId="2" fillId="35" borderId="23" xfId="0" applyNumberFormat="1" applyFont="1" applyFill="1" applyBorder="1" applyAlignment="1" applyProtection="1">
      <alignment/>
      <protection hidden="1" locked="0"/>
    </xf>
    <xf numFmtId="0" fontId="1" fillId="34" borderId="28" xfId="0" applyNumberFormat="1" applyFont="1" applyFill="1" applyBorder="1" applyAlignment="1" applyProtection="1">
      <alignment horizontal="right"/>
      <protection hidden="1"/>
    </xf>
    <xf numFmtId="0" fontId="1" fillId="35" borderId="29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88" fontId="2" fillId="36" borderId="30" xfId="51" applyNumberFormat="1" applyFont="1" applyFill="1" applyBorder="1" applyAlignment="1" applyProtection="1">
      <alignment/>
      <protection hidden="1"/>
    </xf>
    <xf numFmtId="188" fontId="2" fillId="0" borderId="22" xfId="51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9" fontId="5" fillId="0" borderId="0" xfId="51" applyFont="1" applyBorder="1" applyAlignment="1" applyProtection="1">
      <alignment/>
      <protection hidden="1"/>
    </xf>
    <xf numFmtId="3" fontId="5" fillId="0" borderId="22" xfId="0" applyNumberFormat="1" applyFont="1" applyFill="1" applyBorder="1" applyAlignment="1" applyProtection="1">
      <alignment/>
      <protection hidden="1"/>
    </xf>
    <xf numFmtId="38" fontId="5" fillId="0" borderId="22" xfId="0" applyNumberFormat="1" applyFont="1" applyFill="1" applyBorder="1" applyAlignment="1" applyProtection="1">
      <alignment/>
      <protection hidden="1"/>
    </xf>
    <xf numFmtId="185" fontId="5" fillId="0" borderId="22" xfId="51" applyNumberFormat="1" applyFont="1" applyFill="1" applyBorder="1" applyAlignment="1" applyProtection="1">
      <alignment/>
      <protection hidden="1"/>
    </xf>
    <xf numFmtId="188" fontId="1" fillId="36" borderId="30" xfId="51" applyNumberFormat="1" applyFont="1" applyFill="1" applyBorder="1" applyAlignment="1" applyProtection="1">
      <alignment/>
      <protection hidden="1"/>
    </xf>
    <xf numFmtId="188" fontId="1" fillId="36" borderId="31" xfId="51" applyNumberFormat="1" applyFont="1" applyFill="1" applyBorder="1" applyAlignment="1" applyProtection="1">
      <alignment vertical="center"/>
      <protection hidden="1"/>
    </xf>
    <xf numFmtId="188" fontId="1" fillId="36" borderId="32" xfId="51" applyNumberFormat="1" applyFont="1" applyFill="1" applyBorder="1" applyAlignment="1" applyProtection="1">
      <alignment vertic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/>
      <protection hidden="1"/>
    </xf>
    <xf numFmtId="188" fontId="2" fillId="36" borderId="15" xfId="51" applyNumberFormat="1" applyFont="1" applyFill="1" applyBorder="1" applyAlignment="1" applyProtection="1">
      <alignment/>
      <protection hidden="1"/>
    </xf>
    <xf numFmtId="188" fontId="2" fillId="36" borderId="34" xfId="51" applyNumberFormat="1" applyFont="1" applyFill="1" applyBorder="1" applyAlignment="1" applyProtection="1">
      <alignment/>
      <protection hidden="1"/>
    </xf>
    <xf numFmtId="188" fontId="2" fillId="36" borderId="0" xfId="51" applyNumberFormat="1" applyFont="1" applyFill="1" applyBorder="1" applyAlignment="1" applyProtection="1">
      <alignment/>
      <protection hidden="1"/>
    </xf>
    <xf numFmtId="188" fontId="2" fillId="36" borderId="35" xfId="51" applyNumberFormat="1" applyFont="1" applyFill="1" applyBorder="1" applyAlignment="1" applyProtection="1">
      <alignment/>
      <protection hidden="1"/>
    </xf>
    <xf numFmtId="190" fontId="1" fillId="36" borderId="25" xfId="48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190" fontId="2" fillId="36" borderId="16" xfId="48" applyNumberFormat="1" applyFont="1" applyFill="1" applyBorder="1" applyAlignment="1" applyProtection="1">
      <alignment/>
      <protection hidden="1"/>
    </xf>
    <xf numFmtId="189" fontId="2" fillId="34" borderId="17" xfId="48" applyNumberFormat="1" applyFont="1" applyFill="1" applyBorder="1" applyAlignment="1" applyProtection="1">
      <alignment horizontal="right"/>
      <protection hidden="1"/>
    </xf>
    <xf numFmtId="189" fontId="2" fillId="34" borderId="21" xfId="48" applyNumberFormat="1" applyFont="1" applyFill="1" applyBorder="1" applyAlignment="1" applyProtection="1">
      <alignment horizontal="right"/>
      <protection hidden="1"/>
    </xf>
    <xf numFmtId="189" fontId="1" fillId="34" borderId="24" xfId="0" applyNumberFormat="1" applyFont="1" applyFill="1" applyBorder="1" applyAlignment="1" applyProtection="1">
      <alignment vertical="center"/>
      <protection hidden="1"/>
    </xf>
    <xf numFmtId="189" fontId="2" fillId="35" borderId="16" xfId="48" applyNumberFormat="1" applyFont="1" applyFill="1" applyBorder="1" applyAlignment="1" applyProtection="1">
      <alignment horizontal="right"/>
      <protection hidden="1"/>
    </xf>
    <xf numFmtId="189" fontId="2" fillId="35" borderId="19" xfId="48" applyNumberFormat="1" applyFont="1" applyFill="1" applyBorder="1" applyAlignment="1" applyProtection="1">
      <alignment horizontal="right"/>
      <protection hidden="1"/>
    </xf>
    <xf numFmtId="189" fontId="1" fillId="35" borderId="25" xfId="0" applyNumberFormat="1" applyFont="1" applyFill="1" applyBorder="1" applyAlignment="1" applyProtection="1">
      <alignment vertical="center"/>
      <protection hidden="1"/>
    </xf>
    <xf numFmtId="190" fontId="2" fillId="36" borderId="19" xfId="48" applyNumberFormat="1" applyFont="1" applyFill="1" applyBorder="1" applyAlignment="1" applyProtection="1">
      <alignment/>
      <protection hidden="1"/>
    </xf>
    <xf numFmtId="193" fontId="1" fillId="35" borderId="10" xfId="0" applyNumberFormat="1" applyFont="1" applyFill="1" applyBorder="1" applyAlignment="1" applyProtection="1">
      <alignment horizontal="center"/>
      <protection hidden="1"/>
    </xf>
    <xf numFmtId="193" fontId="1" fillId="34" borderId="36" xfId="0" applyNumberFormat="1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22" xfId="0" applyFont="1" applyFill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38" fontId="1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95" fontId="2" fillId="36" borderId="16" xfId="48" applyNumberFormat="1" applyFont="1" applyFill="1" applyBorder="1" applyAlignment="1" applyProtection="1">
      <alignment/>
      <protection hidden="1"/>
    </xf>
    <xf numFmtId="195" fontId="2" fillId="36" borderId="19" xfId="48" applyNumberFormat="1" applyFont="1" applyFill="1" applyBorder="1" applyAlignment="1" applyProtection="1">
      <alignment/>
      <protection hidden="1"/>
    </xf>
    <xf numFmtId="195" fontId="1" fillId="36" borderId="25" xfId="48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" fillId="35" borderId="27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35" borderId="38" xfId="0" applyFont="1" applyFill="1" applyBorder="1" applyAlignment="1" applyProtection="1">
      <alignment horizontal="center"/>
      <protection hidden="1"/>
    </xf>
    <xf numFmtId="0" fontId="5" fillId="35" borderId="33" xfId="0" applyFont="1" applyFill="1" applyBorder="1" applyAlignment="1" applyProtection="1">
      <alignment horizontal="center"/>
      <protection hidden="1"/>
    </xf>
    <xf numFmtId="0" fontId="5" fillId="35" borderId="39" xfId="0" applyFont="1" applyFill="1" applyBorder="1" applyAlignment="1" applyProtection="1">
      <alignment horizontal="center"/>
      <protection hidden="1"/>
    </xf>
    <xf numFmtId="49" fontId="5" fillId="0" borderId="26" xfId="0" applyNumberFormat="1" applyFont="1" applyFill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vertical="center"/>
      <protection hidden="1"/>
    </xf>
    <xf numFmtId="0" fontId="0" fillId="33" borderId="40" xfId="0" applyFill="1" applyBorder="1" applyAlignment="1" applyProtection="1">
      <alignment vertical="center"/>
      <protection hidden="1"/>
    </xf>
    <xf numFmtId="0" fontId="1" fillId="36" borderId="42" xfId="0" applyNumberFormat="1" applyFont="1" applyFill="1" applyBorder="1" applyAlignment="1" applyProtection="1">
      <alignment horizontal="center"/>
      <protection hidden="1"/>
    </xf>
    <xf numFmtId="0" fontId="1" fillId="36" borderId="22" xfId="0" applyNumberFormat="1" applyFont="1" applyFill="1" applyBorder="1" applyAlignment="1" applyProtection="1">
      <alignment horizontal="center"/>
      <protection hidden="1"/>
    </xf>
    <xf numFmtId="0" fontId="1" fillId="36" borderId="43" xfId="0" applyNumberFormat="1" applyFont="1" applyFill="1" applyBorder="1" applyAlignment="1" applyProtection="1">
      <alignment horizontal="center"/>
      <protection hidden="1"/>
    </xf>
    <xf numFmtId="0" fontId="1" fillId="37" borderId="26" xfId="0" applyFont="1" applyFill="1" applyBorder="1" applyAlignment="1" applyProtection="1">
      <alignment horizontal="center" vertical="center"/>
      <protection hidden="1"/>
    </xf>
    <xf numFmtId="0" fontId="1" fillId="37" borderId="41" xfId="0" applyFont="1" applyFill="1" applyBorder="1" applyAlignment="1" applyProtection="1">
      <alignment horizontal="center" vertical="center"/>
      <protection hidden="1"/>
    </xf>
    <xf numFmtId="0" fontId="1" fillId="37" borderId="40" xfId="0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7" fillId="38" borderId="26" xfId="0" applyFont="1" applyFill="1" applyBorder="1" applyAlignment="1" applyProtection="1">
      <alignment horizontal="center" vertical="center"/>
      <protection hidden="1"/>
    </xf>
    <xf numFmtId="0" fontId="7" fillId="38" borderId="41" xfId="0" applyFont="1" applyFill="1" applyBorder="1" applyAlignment="1" applyProtection="1">
      <alignment horizontal="center" vertical="center"/>
      <protection hidden="1"/>
    </xf>
    <xf numFmtId="0" fontId="7" fillId="38" borderId="40" xfId="0" applyFont="1" applyFill="1" applyBorder="1" applyAlignment="1" applyProtection="1">
      <alignment horizontal="center" vertical="center"/>
      <protection hidden="1"/>
    </xf>
    <xf numFmtId="0" fontId="6" fillId="38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 hidden="1"/>
    </xf>
    <xf numFmtId="0" fontId="4" fillId="39" borderId="0" xfId="0" applyFont="1" applyFill="1" applyAlignment="1" applyProtection="1">
      <alignment horizontal="left"/>
      <protection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center" vertical="center"/>
      <protection hidden="1"/>
    </xf>
    <xf numFmtId="0" fontId="6" fillId="38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8" fillId="38" borderId="44" xfId="0" applyFont="1" applyFill="1" applyBorder="1" applyAlignment="1">
      <alignment horizontal="center" vertical="center"/>
    </xf>
    <xf numFmtId="0" fontId="6" fillId="38" borderId="0" xfId="0" applyFont="1" applyFill="1" applyAlignment="1" applyProtection="1">
      <alignment horizontal="left" vertical="center"/>
      <protection hidden="1"/>
    </xf>
    <xf numFmtId="0" fontId="4" fillId="40" borderId="0" xfId="0" applyFont="1" applyFill="1" applyAlignment="1" applyProtection="1">
      <alignment horizontal="left"/>
      <protection hidden="1"/>
    </xf>
    <xf numFmtId="49" fontId="2" fillId="0" borderId="26" xfId="0" applyNumberFormat="1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4" fillId="39" borderId="0" xfId="0" applyFont="1" applyFill="1" applyAlignment="1" applyProtection="1">
      <alignment horizontal="left"/>
      <protection hidden="1"/>
    </xf>
    <xf numFmtId="0" fontId="4" fillId="40" borderId="0" xfId="0" applyFont="1" applyFill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"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775"/>
          <c:w val="0.968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Balkendiagramm!$B$27:$B$38</c:f>
              <c:numCache/>
            </c:numRef>
          </c:val>
        </c:ser>
        <c:ser>
          <c:idx val="1"/>
          <c:order val="1"/>
          <c:tx>
            <c:strRef>
              <c:f>Balkendiagramm!$C$26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Balkendiagramm!$C$27:$C$38</c:f>
              <c:numCache/>
            </c:numRef>
          </c:val>
        </c:ser>
        <c:ser>
          <c:idx val="2"/>
          <c:order val="2"/>
          <c:tx>
            <c:strRef>
              <c:f>Balkendiagramm!$D$26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Balkendiagramm!$D$27:$D$38</c:f>
              <c:numCache/>
            </c:numRef>
          </c:val>
        </c:ser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2493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5"/>
          <c:y val="0.9447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Nord-Süd | Anz. Fz pro Tag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775"/>
          <c:w val="0.968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Balkendiagramm!$Q$2:$Q$13</c:f>
              <c:numCache/>
            </c:numRef>
          </c:val>
        </c:ser>
        <c:ser>
          <c:idx val="1"/>
          <c:order val="1"/>
          <c:tx>
            <c:strRef>
              <c:f>Balkendiagramm!$R$1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Balkendiagramm!$R$2:$R$13</c:f>
              <c:numCache/>
            </c:numRef>
          </c:val>
        </c:ser>
        <c:ser>
          <c:idx val="2"/>
          <c:order val="2"/>
          <c:tx>
            <c:strRef>
              <c:f>Balkendiagramm!$S$1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Balkendiagramm!$S$2:$S$13</c:f>
              <c:numCache/>
            </c:numRef>
          </c:val>
        </c:ser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467692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47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875"/>
          <c:w val="0.968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Balkendiagramm!$Q$27:$Q$38</c:f>
              <c:numCache/>
            </c:numRef>
          </c:val>
        </c:ser>
        <c:ser>
          <c:idx val="1"/>
          <c:order val="1"/>
          <c:tx>
            <c:strRef>
              <c:f>Balkendiagramm!$R$26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Balkendiagramm!$R$27:$R$38</c:f>
              <c:numCache/>
            </c:numRef>
          </c:val>
        </c:ser>
        <c:ser>
          <c:idx val="2"/>
          <c:order val="2"/>
          <c:tx>
            <c:strRef>
              <c:f>Balkendiagramm!$S$26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Balkendiagramm!$S$27:$S$38</c:f>
              <c:numCache/>
            </c:numRef>
          </c:val>
        </c:ser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419638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2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Nord-Süd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875"/>
          <c:w val="0.968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Balkendiagramm!$AF$2:$AF$13</c:f>
              <c:numCache/>
            </c:numRef>
          </c:val>
        </c:ser>
        <c:ser>
          <c:idx val="1"/>
          <c:order val="1"/>
          <c:tx>
            <c:strRef>
              <c:f>Balkendiagramm!$AG$1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Balkendiagramm!$AG$2:$AG$13</c:f>
              <c:numCache/>
            </c:numRef>
          </c:val>
        </c:ser>
        <c:ser>
          <c:idx val="2"/>
          <c:order val="2"/>
          <c:tx>
            <c:strRef>
              <c:f>Balkendiagramm!$AH$1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Balkendiagramm!$AH$2:$AH$13</c:f>
              <c:numCache/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765216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2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Süd-Nord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875"/>
          <c:w val="0.968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Balkendiagramm!$AF$27:$AF$38</c:f>
              <c:numCache/>
            </c:numRef>
          </c:val>
        </c:ser>
        <c:ser>
          <c:idx val="1"/>
          <c:order val="1"/>
          <c:tx>
            <c:strRef>
              <c:f>Balkendiagramm!$AG$26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Balkendiagramm!$AG$27:$AG$38</c:f>
              <c:numCache/>
            </c:numRef>
          </c:val>
        </c:ser>
        <c:ser>
          <c:idx val="2"/>
          <c:order val="2"/>
          <c:tx>
            <c:strRef>
              <c:f>Balkendiagramm!$AH$26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Balkendiagramm!$AH$27:$AH$38</c:f>
              <c:numCache/>
            </c:numRef>
          </c:val>
        </c:ser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124074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2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Nord-Süd | Anz. Fz pro Tag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775"/>
          <c:w val="0.968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Balkendiagramm!$B$2:$B$13</c:f>
              <c:numCache/>
            </c:numRef>
          </c:val>
        </c:ser>
        <c:ser>
          <c:idx val="1"/>
          <c:order val="1"/>
          <c:tx>
            <c:strRef>
              <c:f>Balkendiagramm!$C$1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Balkendiagramm!$C$2:$C$13</c:f>
              <c:numCache/>
            </c:numRef>
          </c:val>
        </c:ser>
        <c:ser>
          <c:idx val="2"/>
          <c:order val="2"/>
          <c:tx>
            <c:strRef>
              <c:f>Balkendiagramm!$D$1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Balkendiagramm!$D$2:$D$13</c:f>
              <c:numCache/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0624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47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557"/>
        <xdr:cNvGrpSpPr>
          <a:grpSpLocks/>
        </xdr:cNvGrpSpPr>
      </xdr:nvGrpSpPr>
      <xdr:grpSpPr>
        <a:xfrm>
          <a:off x="28575" y="47625"/>
          <a:ext cx="3495675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558"/>
          <xdr:cNvSpPr txBox="1">
            <a:spLocks noChangeArrowheads="1"/>
          </xdr:cNvSpPr>
        </xdr:nvSpPr>
        <xdr:spPr>
          <a:xfrm>
            <a:off x="2292" y="2478"/>
            <a:ext cx="1835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559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823"/>
        <xdr:cNvGrpSpPr>
          <a:grpSpLocks/>
        </xdr:cNvGrpSpPr>
      </xdr:nvGrpSpPr>
      <xdr:grpSpPr>
        <a:xfrm>
          <a:off x="9525" y="47625"/>
          <a:ext cx="3514725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824"/>
          <xdr:cNvSpPr txBox="1">
            <a:spLocks noChangeArrowheads="1"/>
          </xdr:cNvSpPr>
        </xdr:nvSpPr>
        <xdr:spPr>
          <a:xfrm>
            <a:off x="2290" y="2478"/>
            <a:ext cx="1837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825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855"/>
        <xdr:cNvGrpSpPr>
          <a:grpSpLocks/>
        </xdr:cNvGrpSpPr>
      </xdr:nvGrpSpPr>
      <xdr:grpSpPr>
        <a:xfrm>
          <a:off x="28575" y="47625"/>
          <a:ext cx="3495675" cy="12573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856"/>
          <xdr:cNvSpPr txBox="1">
            <a:spLocks noChangeArrowheads="1"/>
          </xdr:cNvSpPr>
        </xdr:nvSpPr>
        <xdr:spPr>
          <a:xfrm>
            <a:off x="2292" y="2478"/>
            <a:ext cx="1835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857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14</xdr:col>
      <xdr:colOff>0</xdr:colOff>
      <xdr:row>49</xdr:row>
      <xdr:rowOff>0</xdr:rowOff>
    </xdr:to>
    <xdr:graphicFrame>
      <xdr:nvGraphicFramePr>
        <xdr:cNvPr id="1" name="Chart 6"/>
        <xdr:cNvGraphicFramePr/>
      </xdr:nvGraphicFramePr>
      <xdr:xfrm>
        <a:off x="0" y="4048125"/>
        <a:ext cx="5467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29</xdr:col>
      <xdr:colOff>0</xdr:colOff>
      <xdr:row>24</xdr:row>
      <xdr:rowOff>0</xdr:rowOff>
    </xdr:to>
    <xdr:graphicFrame>
      <xdr:nvGraphicFramePr>
        <xdr:cNvPr id="2" name="Chart 59"/>
        <xdr:cNvGraphicFramePr/>
      </xdr:nvGraphicFramePr>
      <xdr:xfrm>
        <a:off x="5857875" y="0"/>
        <a:ext cx="54673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29</xdr:col>
      <xdr:colOff>0</xdr:colOff>
      <xdr:row>49</xdr:row>
      <xdr:rowOff>0</xdr:rowOff>
    </xdr:to>
    <xdr:graphicFrame>
      <xdr:nvGraphicFramePr>
        <xdr:cNvPr id="3" name="Chart 60"/>
        <xdr:cNvGraphicFramePr/>
      </xdr:nvGraphicFramePr>
      <xdr:xfrm>
        <a:off x="5857875" y="4048125"/>
        <a:ext cx="54673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342900</xdr:colOff>
      <xdr:row>4</xdr:row>
      <xdr:rowOff>9525</xdr:rowOff>
    </xdr:to>
    <xdr:grpSp>
      <xdr:nvGrpSpPr>
        <xdr:cNvPr id="4" name="Group 61"/>
        <xdr:cNvGrpSpPr>
          <a:grpSpLocks noChangeAspect="1"/>
        </xdr:cNvGrpSpPr>
      </xdr:nvGrpSpPr>
      <xdr:grpSpPr>
        <a:xfrm flipH="1">
          <a:off x="6638925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" name="AutoShape 62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3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4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5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66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7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68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9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70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71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72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73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74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75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6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7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78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79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80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81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82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83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4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85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86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342900</xdr:colOff>
      <xdr:row>29</xdr:row>
      <xdr:rowOff>9525</xdr:rowOff>
    </xdr:to>
    <xdr:grpSp>
      <xdr:nvGrpSpPr>
        <xdr:cNvPr id="30" name="Group 87"/>
        <xdr:cNvGrpSpPr>
          <a:grpSpLocks/>
        </xdr:cNvGrpSpPr>
      </xdr:nvGrpSpPr>
      <xdr:grpSpPr>
        <a:xfrm>
          <a:off x="10153650" y="4210050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31" name="AutoShape 88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9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90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91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92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93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94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95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96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7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98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99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00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01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02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103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104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105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106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107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108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09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110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111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12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24</xdr:row>
      <xdr:rowOff>0</xdr:rowOff>
    </xdr:to>
    <xdr:graphicFrame>
      <xdr:nvGraphicFramePr>
        <xdr:cNvPr id="56" name="Chart 113"/>
        <xdr:cNvGraphicFramePr/>
      </xdr:nvGraphicFramePr>
      <xdr:xfrm>
        <a:off x="11715750" y="0"/>
        <a:ext cx="54673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25</xdr:row>
      <xdr:rowOff>0</xdr:rowOff>
    </xdr:from>
    <xdr:to>
      <xdr:col>44</xdr:col>
      <xdr:colOff>0</xdr:colOff>
      <xdr:row>49</xdr:row>
      <xdr:rowOff>0</xdr:rowOff>
    </xdr:to>
    <xdr:graphicFrame>
      <xdr:nvGraphicFramePr>
        <xdr:cNvPr id="57" name="Chart 114"/>
        <xdr:cNvGraphicFramePr/>
      </xdr:nvGraphicFramePr>
      <xdr:xfrm>
        <a:off x="11715750" y="4048125"/>
        <a:ext cx="54673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0</xdr:colOff>
      <xdr:row>1</xdr:row>
      <xdr:rowOff>0</xdr:rowOff>
    </xdr:from>
    <xdr:to>
      <xdr:col>33</xdr:col>
      <xdr:colOff>342900</xdr:colOff>
      <xdr:row>4</xdr:row>
      <xdr:rowOff>9525</xdr:rowOff>
    </xdr:to>
    <xdr:grpSp>
      <xdr:nvGrpSpPr>
        <xdr:cNvPr id="58" name="Group 115"/>
        <xdr:cNvGrpSpPr>
          <a:grpSpLocks noChangeAspect="1"/>
        </xdr:cNvGrpSpPr>
      </xdr:nvGrpSpPr>
      <xdr:grpSpPr>
        <a:xfrm flipH="1">
          <a:off x="1249680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9" name="AutoShape 116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117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118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119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20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121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122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23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124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125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26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127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128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129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130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131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132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133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134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135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136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37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38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139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140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25</xdr:row>
      <xdr:rowOff>152400</xdr:rowOff>
    </xdr:from>
    <xdr:to>
      <xdr:col>43</xdr:col>
      <xdr:colOff>0</xdr:colOff>
      <xdr:row>29</xdr:row>
      <xdr:rowOff>0</xdr:rowOff>
    </xdr:to>
    <xdr:grpSp>
      <xdr:nvGrpSpPr>
        <xdr:cNvPr id="84" name="Group 141"/>
        <xdr:cNvGrpSpPr>
          <a:grpSpLocks/>
        </xdr:cNvGrpSpPr>
      </xdr:nvGrpSpPr>
      <xdr:grpSpPr>
        <a:xfrm>
          <a:off x="16059150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85" name="AutoShape 142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143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144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145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146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147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148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149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150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151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152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153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154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55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56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57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58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59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60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61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62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63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64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65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66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110" name="Chart 167"/>
        <xdr:cNvGraphicFramePr/>
      </xdr:nvGraphicFramePr>
      <xdr:xfrm>
        <a:off x="0" y="0"/>
        <a:ext cx="54673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3</xdr:col>
      <xdr:colOff>342900</xdr:colOff>
      <xdr:row>4</xdr:row>
      <xdr:rowOff>9525</xdr:rowOff>
    </xdr:to>
    <xdr:grpSp>
      <xdr:nvGrpSpPr>
        <xdr:cNvPr id="111" name="Group 7"/>
        <xdr:cNvGrpSpPr>
          <a:grpSpLocks noChangeAspect="1"/>
        </xdr:cNvGrpSpPr>
      </xdr:nvGrpSpPr>
      <xdr:grpSpPr>
        <a:xfrm flipH="1">
          <a:off x="78105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112" name="AutoShape 8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9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0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2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3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4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5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6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7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8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9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20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21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22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23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24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25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26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27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28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29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30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31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32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25</xdr:row>
      <xdr:rowOff>152400</xdr:rowOff>
    </xdr:from>
    <xdr:to>
      <xdr:col>12</xdr:col>
      <xdr:colOff>342900</xdr:colOff>
      <xdr:row>29</xdr:row>
      <xdr:rowOff>0</xdr:rowOff>
    </xdr:to>
    <xdr:grpSp>
      <xdr:nvGrpSpPr>
        <xdr:cNvPr id="137" name="Group 33"/>
        <xdr:cNvGrpSpPr>
          <a:grpSpLocks/>
        </xdr:cNvGrpSpPr>
      </xdr:nvGrpSpPr>
      <xdr:grpSpPr>
        <a:xfrm>
          <a:off x="4295775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138" name="AutoShape 34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35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36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37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38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39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40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41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42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43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44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45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46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7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48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49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50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51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52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53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54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55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56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57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58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526"/>
        <xdr:cNvGrpSpPr>
          <a:grpSpLocks/>
        </xdr:cNvGrpSpPr>
      </xdr:nvGrpSpPr>
      <xdr:grpSpPr>
        <a:xfrm>
          <a:off x="38100" y="47625"/>
          <a:ext cx="3486150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527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528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1017"/>
        <xdr:cNvGrpSpPr>
          <a:grpSpLocks/>
        </xdr:cNvGrpSpPr>
      </xdr:nvGrpSpPr>
      <xdr:grpSpPr>
        <a:xfrm>
          <a:off x="47625" y="47625"/>
          <a:ext cx="3476625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018"/>
          <xdr:cNvSpPr txBox="1">
            <a:spLocks noChangeArrowheads="1"/>
          </xdr:cNvSpPr>
        </xdr:nvSpPr>
        <xdr:spPr>
          <a:xfrm>
            <a:off x="2288" y="2478"/>
            <a:ext cx="1839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019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709"/>
        <xdr:cNvGrpSpPr>
          <a:grpSpLocks/>
        </xdr:cNvGrpSpPr>
      </xdr:nvGrpSpPr>
      <xdr:grpSpPr>
        <a:xfrm>
          <a:off x="19050" y="47625"/>
          <a:ext cx="3505200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710"/>
          <xdr:cNvSpPr txBox="1">
            <a:spLocks noChangeArrowheads="1"/>
          </xdr:cNvSpPr>
        </xdr:nvSpPr>
        <xdr:spPr>
          <a:xfrm>
            <a:off x="2291" y="2478"/>
            <a:ext cx="1836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711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825"/>
        <xdr:cNvGrpSpPr>
          <a:grpSpLocks/>
        </xdr:cNvGrpSpPr>
      </xdr:nvGrpSpPr>
      <xdr:grpSpPr>
        <a:xfrm>
          <a:off x="47625" y="47625"/>
          <a:ext cx="3476625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826"/>
          <xdr:cNvSpPr txBox="1">
            <a:spLocks noChangeArrowheads="1"/>
          </xdr:cNvSpPr>
        </xdr:nvSpPr>
        <xdr:spPr>
          <a:xfrm>
            <a:off x="2288" y="2478"/>
            <a:ext cx="1839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827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740"/>
        <xdr:cNvGrpSpPr>
          <a:grpSpLocks/>
        </xdr:cNvGrpSpPr>
      </xdr:nvGrpSpPr>
      <xdr:grpSpPr>
        <a:xfrm>
          <a:off x="38100" y="47625"/>
          <a:ext cx="3486150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741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742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546"/>
        <xdr:cNvGrpSpPr>
          <a:grpSpLocks/>
        </xdr:cNvGrpSpPr>
      </xdr:nvGrpSpPr>
      <xdr:grpSpPr>
        <a:xfrm>
          <a:off x="19050" y="47625"/>
          <a:ext cx="3505200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547"/>
          <xdr:cNvSpPr txBox="1">
            <a:spLocks noChangeArrowheads="1"/>
          </xdr:cNvSpPr>
        </xdr:nvSpPr>
        <xdr:spPr>
          <a:xfrm>
            <a:off x="2291" y="2478"/>
            <a:ext cx="1836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548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526"/>
        <xdr:cNvGrpSpPr>
          <a:grpSpLocks/>
        </xdr:cNvGrpSpPr>
      </xdr:nvGrpSpPr>
      <xdr:grpSpPr>
        <a:xfrm>
          <a:off x="28575" y="47625"/>
          <a:ext cx="3495675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527"/>
          <xdr:cNvSpPr txBox="1">
            <a:spLocks noChangeArrowheads="1"/>
          </xdr:cNvSpPr>
        </xdr:nvSpPr>
        <xdr:spPr>
          <a:xfrm>
            <a:off x="2292" y="2478"/>
            <a:ext cx="1835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528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7</xdr:col>
      <xdr:colOff>19050</xdr:colOff>
      <xdr:row>1</xdr:row>
      <xdr:rowOff>180975</xdr:rowOff>
    </xdr:to>
    <xdr:grpSp>
      <xdr:nvGrpSpPr>
        <xdr:cNvPr id="1" name="Group 669"/>
        <xdr:cNvGrpSpPr>
          <a:grpSpLocks/>
        </xdr:cNvGrpSpPr>
      </xdr:nvGrpSpPr>
      <xdr:grpSpPr>
        <a:xfrm>
          <a:off x="38100" y="47625"/>
          <a:ext cx="3486150" cy="1295400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670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671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6" t="s">
        <v>18</v>
      </c>
      <c r="B2" s="127" t="s">
        <v>53</v>
      </c>
      <c r="C2" s="127"/>
      <c r="D2" s="127"/>
      <c r="E2" s="127"/>
      <c r="O2" s="5"/>
      <c r="P2" s="5"/>
      <c r="Q2" s="92"/>
    </row>
    <row r="3" spans="1:17" ht="13.5" customHeight="1">
      <c r="A3" s="1"/>
      <c r="B3" s="128" t="s">
        <v>20</v>
      </c>
      <c r="C3" s="128"/>
      <c r="D3" s="129" t="s">
        <v>19</v>
      </c>
      <c r="E3" s="129"/>
      <c r="O3" s="5"/>
      <c r="P3" s="5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v>2011</v>
      </c>
      <c r="C9" s="51"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1577</v>
      </c>
      <c r="C11" s="31">
        <v>1534</v>
      </c>
      <c r="D11" s="21">
        <f>IF(OR(C11="",B11=0),"",C11-B11)</f>
        <v>-43</v>
      </c>
      <c r="E11" s="68">
        <f aca="true" t="shared" si="0" ref="E11:E22">IF(D11="","",D11/B11)</f>
        <v>-0.027266962587190868</v>
      </c>
      <c r="F11" s="38">
        <v>567</v>
      </c>
      <c r="G11" s="31">
        <v>546</v>
      </c>
      <c r="H11" s="21">
        <f>IF(OR(G11="",F11=0),"",G11-F11)</f>
        <v>-21</v>
      </c>
      <c r="I11" s="68">
        <f aca="true" t="shared" si="1" ref="I11:I22">IF(H11="","",H11/F11)</f>
        <v>-0.037037037037037035</v>
      </c>
      <c r="J11" s="38">
        <v>211</v>
      </c>
      <c r="K11" s="31">
        <v>126</v>
      </c>
      <c r="L11" s="21">
        <f>IF(OR(K11="",J11=0),"",K11-J11)</f>
        <v>-85</v>
      </c>
      <c r="M11" s="68">
        <f aca="true" t="shared" si="2" ref="M11:M22">IF(L11="","",L11/J11)</f>
        <v>-0.4028436018957346</v>
      </c>
      <c r="N11" s="38">
        <f aca="true" t="shared" si="3" ref="N11:N22">SUM(B11,F11,J11)</f>
        <v>2355</v>
      </c>
      <c r="O11" s="34">
        <f aca="true" t="shared" si="4" ref="O11:O22">IF(C11="","",SUM(C11,G11,K11))</f>
        <v>2206</v>
      </c>
      <c r="P11" s="21">
        <f>IF(OR(O11="",N11=0),"",O11-N11)</f>
        <v>-149</v>
      </c>
      <c r="Q11" s="68">
        <f aca="true" t="shared" si="5" ref="Q11:Q22">IF(P11="","",P11/N11)</f>
        <v>-0.06326963906581741</v>
      </c>
    </row>
    <row r="12" spans="1:17" ht="11.25" customHeight="1">
      <c r="A12" s="20" t="s">
        <v>7</v>
      </c>
      <c r="B12" s="38">
        <v>2006</v>
      </c>
      <c r="C12" s="31">
        <v>1325</v>
      </c>
      <c r="D12" s="21">
        <f aca="true" t="shared" si="6" ref="D12:D22">IF(OR(C12="",B12=0),"",C12-B12)</f>
        <v>-681</v>
      </c>
      <c r="E12" s="68">
        <f t="shared" si="0"/>
        <v>-0.339481555333998</v>
      </c>
      <c r="F12" s="38">
        <v>665</v>
      </c>
      <c r="G12" s="31">
        <v>649</v>
      </c>
      <c r="H12" s="21">
        <f aca="true" t="shared" si="7" ref="H12:H22">IF(OR(G12="",F12=0),"",G12-F12)</f>
        <v>-16</v>
      </c>
      <c r="I12" s="68">
        <f t="shared" si="1"/>
        <v>-0.02406015037593985</v>
      </c>
      <c r="J12" s="38">
        <v>212</v>
      </c>
      <c r="K12" s="31">
        <v>168</v>
      </c>
      <c r="L12" s="21">
        <f aca="true" t="shared" si="8" ref="L12:L22">IF(OR(K12="",J12=0),"",K12-J12)</f>
        <v>-44</v>
      </c>
      <c r="M12" s="68">
        <f t="shared" si="2"/>
        <v>-0.20754716981132076</v>
      </c>
      <c r="N12" s="38">
        <f t="shared" si="3"/>
        <v>2883</v>
      </c>
      <c r="O12" s="34">
        <f t="shared" si="4"/>
        <v>2142</v>
      </c>
      <c r="P12" s="21">
        <f aca="true" t="shared" si="9" ref="P12:P22">IF(OR(O12="",N12=0),"",O12-N12)</f>
        <v>-741</v>
      </c>
      <c r="Q12" s="68">
        <f t="shared" si="5"/>
        <v>-0.2570239334027055</v>
      </c>
    </row>
    <row r="13" spans="1:17" ht="11.25" customHeight="1">
      <c r="A13" s="27" t="s">
        <v>8</v>
      </c>
      <c r="B13" s="40">
        <v>2338</v>
      </c>
      <c r="C13" s="32">
        <v>2201</v>
      </c>
      <c r="D13" s="22">
        <f t="shared" si="6"/>
        <v>-137</v>
      </c>
      <c r="E13" s="69">
        <f t="shared" si="0"/>
        <v>-0.05859709153122327</v>
      </c>
      <c r="F13" s="40">
        <v>821</v>
      </c>
      <c r="G13" s="32">
        <v>734</v>
      </c>
      <c r="H13" s="22">
        <f t="shared" si="7"/>
        <v>-87</v>
      </c>
      <c r="I13" s="69">
        <f t="shared" si="1"/>
        <v>-0.10596833130328867</v>
      </c>
      <c r="J13" s="40">
        <v>208</v>
      </c>
      <c r="K13" s="32">
        <v>211</v>
      </c>
      <c r="L13" s="22">
        <f t="shared" si="8"/>
        <v>3</v>
      </c>
      <c r="M13" s="69">
        <f t="shared" si="2"/>
        <v>0.014423076923076924</v>
      </c>
      <c r="N13" s="40">
        <f t="shared" si="3"/>
        <v>3367</v>
      </c>
      <c r="O13" s="35">
        <f t="shared" si="4"/>
        <v>3146</v>
      </c>
      <c r="P13" s="22">
        <f t="shared" si="9"/>
        <v>-221</v>
      </c>
      <c r="Q13" s="69">
        <f t="shared" si="5"/>
        <v>-0.06563706563706563</v>
      </c>
    </row>
    <row r="14" spans="1:17" ht="11.25" customHeight="1">
      <c r="A14" s="20" t="s">
        <v>9</v>
      </c>
      <c r="B14" s="38">
        <v>2263</v>
      </c>
      <c r="C14" s="31"/>
      <c r="D14" s="21">
        <f t="shared" si="6"/>
      </c>
      <c r="E14" s="68">
        <f t="shared" si="0"/>
      </c>
      <c r="F14" s="38">
        <v>725</v>
      </c>
      <c r="G14" s="31"/>
      <c r="H14" s="21">
        <f t="shared" si="7"/>
      </c>
      <c r="I14" s="68">
        <f t="shared" si="1"/>
      </c>
      <c r="J14" s="38">
        <v>200</v>
      </c>
      <c r="K14" s="31"/>
      <c r="L14" s="21">
        <f t="shared" si="8"/>
      </c>
      <c r="M14" s="68">
        <f t="shared" si="2"/>
      </c>
      <c r="N14" s="38">
        <f t="shared" si="3"/>
        <v>3188</v>
      </c>
      <c r="O14" s="34">
        <f t="shared" si="4"/>
      </c>
      <c r="P14" s="21">
        <f t="shared" si="9"/>
      </c>
      <c r="Q14" s="68">
        <f t="shared" si="5"/>
      </c>
    </row>
    <row r="15" spans="1:17" ht="11.25" customHeight="1">
      <c r="A15" s="20" t="s">
        <v>10</v>
      </c>
      <c r="B15" s="38">
        <v>2015</v>
      </c>
      <c r="C15" s="31"/>
      <c r="D15" s="21">
        <f t="shared" si="6"/>
      </c>
      <c r="E15" s="68">
        <f t="shared" si="0"/>
      </c>
      <c r="F15" s="38">
        <v>856</v>
      </c>
      <c r="G15" s="31"/>
      <c r="H15" s="21">
        <f t="shared" si="7"/>
      </c>
      <c r="I15" s="68">
        <f t="shared" si="1"/>
      </c>
      <c r="J15" s="38">
        <v>243</v>
      </c>
      <c r="K15" s="31"/>
      <c r="L15" s="21">
        <f t="shared" si="8"/>
      </c>
      <c r="M15" s="68">
        <f t="shared" si="2"/>
      </c>
      <c r="N15" s="38">
        <f t="shared" si="3"/>
        <v>3114</v>
      </c>
      <c r="O15" s="34">
        <f t="shared" si="4"/>
      </c>
      <c r="P15" s="21">
        <f t="shared" si="9"/>
      </c>
      <c r="Q15" s="68">
        <f t="shared" si="5"/>
      </c>
    </row>
    <row r="16" spans="1:17" ht="11.25" customHeight="1">
      <c r="A16" s="27" t="s">
        <v>11</v>
      </c>
      <c r="B16" s="40">
        <v>1762</v>
      </c>
      <c r="C16" s="32"/>
      <c r="D16" s="22">
        <f t="shared" si="6"/>
      </c>
      <c r="E16" s="69">
        <f t="shared" si="0"/>
      </c>
      <c r="F16" s="40">
        <v>826</v>
      </c>
      <c r="G16" s="32"/>
      <c r="H16" s="22">
        <f t="shared" si="7"/>
      </c>
      <c r="I16" s="69">
        <f t="shared" si="1"/>
      </c>
      <c r="J16" s="40">
        <v>221</v>
      </c>
      <c r="K16" s="32"/>
      <c r="L16" s="22">
        <f t="shared" si="8"/>
      </c>
      <c r="M16" s="69">
        <f t="shared" si="2"/>
      </c>
      <c r="N16" s="40">
        <f t="shared" si="3"/>
        <v>2809</v>
      </c>
      <c r="O16" s="35">
        <f t="shared" si="4"/>
      </c>
      <c r="P16" s="22">
        <f t="shared" si="9"/>
      </c>
      <c r="Q16" s="69">
        <f t="shared" si="5"/>
      </c>
    </row>
    <row r="17" spans="1:17" ht="11.25" customHeight="1">
      <c r="A17" s="20" t="s">
        <v>12</v>
      </c>
      <c r="B17" s="38">
        <v>1800</v>
      </c>
      <c r="C17" s="31"/>
      <c r="D17" s="21">
        <f t="shared" si="6"/>
      </c>
      <c r="E17" s="68">
        <f t="shared" si="0"/>
      </c>
      <c r="F17" s="38">
        <v>774</v>
      </c>
      <c r="G17" s="31"/>
      <c r="H17" s="21">
        <f t="shared" si="7"/>
      </c>
      <c r="I17" s="68">
        <f t="shared" si="1"/>
      </c>
      <c r="J17" s="38">
        <v>250</v>
      </c>
      <c r="K17" s="31"/>
      <c r="L17" s="21">
        <f t="shared" si="8"/>
      </c>
      <c r="M17" s="68">
        <f t="shared" si="2"/>
      </c>
      <c r="N17" s="38">
        <f t="shared" si="3"/>
        <v>2824</v>
      </c>
      <c r="O17" s="34">
        <f t="shared" si="4"/>
      </c>
      <c r="P17" s="21">
        <f t="shared" si="9"/>
      </c>
      <c r="Q17" s="68">
        <f t="shared" si="5"/>
      </c>
    </row>
    <row r="18" spans="1:17" ht="11.25" customHeight="1">
      <c r="A18" s="20" t="s">
        <v>13</v>
      </c>
      <c r="B18" s="38">
        <v>1727</v>
      </c>
      <c r="C18" s="31"/>
      <c r="D18" s="21">
        <f t="shared" si="6"/>
      </c>
      <c r="E18" s="68">
        <f t="shared" si="0"/>
      </c>
      <c r="F18" s="38">
        <v>471</v>
      </c>
      <c r="G18" s="31"/>
      <c r="H18" s="21">
        <f t="shared" si="7"/>
      </c>
      <c r="I18" s="68">
        <f t="shared" si="1"/>
      </c>
      <c r="J18" s="38">
        <v>178</v>
      </c>
      <c r="K18" s="31"/>
      <c r="L18" s="21">
        <f t="shared" si="8"/>
      </c>
      <c r="M18" s="68">
        <f t="shared" si="2"/>
      </c>
      <c r="N18" s="38">
        <f t="shared" si="3"/>
        <v>2376</v>
      </c>
      <c r="O18" s="34">
        <f t="shared" si="4"/>
      </c>
      <c r="P18" s="21">
        <f t="shared" si="9"/>
      </c>
      <c r="Q18" s="68">
        <f t="shared" si="5"/>
      </c>
    </row>
    <row r="19" spans="1:17" ht="11.25" customHeight="1">
      <c r="A19" s="27" t="s">
        <v>14</v>
      </c>
      <c r="B19" s="40">
        <v>2410</v>
      </c>
      <c r="C19" s="32"/>
      <c r="D19" s="22">
        <f t="shared" si="6"/>
      </c>
      <c r="E19" s="69">
        <f t="shared" si="0"/>
      </c>
      <c r="F19" s="40">
        <v>703</v>
      </c>
      <c r="G19" s="32"/>
      <c r="H19" s="22">
        <f t="shared" si="7"/>
      </c>
      <c r="I19" s="69">
        <f t="shared" si="1"/>
      </c>
      <c r="J19" s="40">
        <v>233</v>
      </c>
      <c r="K19" s="32"/>
      <c r="L19" s="22">
        <f t="shared" si="8"/>
      </c>
      <c r="M19" s="69">
        <f t="shared" si="2"/>
      </c>
      <c r="N19" s="40">
        <f t="shared" si="3"/>
        <v>3346</v>
      </c>
      <c r="O19" s="35">
        <f t="shared" si="4"/>
      </c>
      <c r="P19" s="22">
        <f t="shared" si="9"/>
      </c>
      <c r="Q19" s="69">
        <f t="shared" si="5"/>
      </c>
    </row>
    <row r="20" spans="1:17" ht="11.25" customHeight="1">
      <c r="A20" s="20" t="s">
        <v>15</v>
      </c>
      <c r="B20" s="38">
        <v>2230</v>
      </c>
      <c r="C20" s="31"/>
      <c r="D20" s="21">
        <f t="shared" si="6"/>
      </c>
      <c r="E20" s="68">
        <f t="shared" si="0"/>
      </c>
      <c r="F20" s="38">
        <v>673</v>
      </c>
      <c r="G20" s="31"/>
      <c r="H20" s="21">
        <f t="shared" si="7"/>
      </c>
      <c r="I20" s="68">
        <f t="shared" si="1"/>
      </c>
      <c r="J20" s="38">
        <v>200</v>
      </c>
      <c r="K20" s="31"/>
      <c r="L20" s="21">
        <f t="shared" si="8"/>
      </c>
      <c r="M20" s="68">
        <f t="shared" si="2"/>
      </c>
      <c r="N20" s="38">
        <f t="shared" si="3"/>
        <v>3103</v>
      </c>
      <c r="O20" s="34">
        <f t="shared" si="4"/>
      </c>
      <c r="P20" s="21">
        <f t="shared" si="9"/>
      </c>
      <c r="Q20" s="68">
        <f t="shared" si="5"/>
      </c>
    </row>
    <row r="21" spans="1:17" ht="11.25" customHeight="1">
      <c r="A21" s="20" t="s">
        <v>16</v>
      </c>
      <c r="B21" s="38">
        <v>2023</v>
      </c>
      <c r="C21" s="31"/>
      <c r="D21" s="21">
        <f t="shared" si="6"/>
      </c>
      <c r="E21" s="68">
        <f t="shared" si="0"/>
      </c>
      <c r="F21" s="38">
        <v>585</v>
      </c>
      <c r="G21" s="31"/>
      <c r="H21" s="21">
        <f t="shared" si="7"/>
      </c>
      <c r="I21" s="68">
        <f t="shared" si="1"/>
      </c>
      <c r="J21" s="38">
        <v>202</v>
      </c>
      <c r="K21" s="31"/>
      <c r="L21" s="21">
        <f t="shared" si="8"/>
      </c>
      <c r="M21" s="68">
        <f t="shared" si="2"/>
      </c>
      <c r="N21" s="38">
        <f t="shared" si="3"/>
        <v>2810</v>
      </c>
      <c r="O21" s="34">
        <f t="shared" si="4"/>
      </c>
      <c r="P21" s="21">
        <f t="shared" si="9"/>
      </c>
      <c r="Q21" s="68">
        <f t="shared" si="5"/>
      </c>
    </row>
    <row r="22" spans="1:17" ht="11.25" customHeight="1" thickBot="1">
      <c r="A22" s="23" t="s">
        <v>17</v>
      </c>
      <c r="B22" s="39">
        <v>1536</v>
      </c>
      <c r="C22" s="33"/>
      <c r="D22" s="21">
        <f t="shared" si="6"/>
      </c>
      <c r="E22" s="54">
        <f t="shared" si="0"/>
      </c>
      <c r="F22" s="39">
        <v>504</v>
      </c>
      <c r="G22" s="33"/>
      <c r="H22" s="21">
        <f t="shared" si="7"/>
      </c>
      <c r="I22" s="54">
        <f t="shared" si="1"/>
      </c>
      <c r="J22" s="39">
        <v>212</v>
      </c>
      <c r="K22" s="33"/>
      <c r="L22" s="21">
        <f t="shared" si="8"/>
      </c>
      <c r="M22" s="54">
        <f t="shared" si="2"/>
      </c>
      <c r="N22" s="39">
        <f t="shared" si="3"/>
        <v>2252</v>
      </c>
      <c r="O22" s="36">
        <f t="shared" si="4"/>
      </c>
      <c r="P22" s="21">
        <f t="shared" si="9"/>
      </c>
      <c r="Q22" s="54">
        <f t="shared" si="5"/>
      </c>
    </row>
    <row r="23" spans="1:17" ht="11.25" customHeight="1" thickBot="1">
      <c r="A23" s="44" t="s">
        <v>3</v>
      </c>
      <c r="B23" s="41">
        <f>IF(C17="",B24,B25)</f>
        <v>5921</v>
      </c>
      <c r="C23" s="42">
        <f>IF(C11="","",SUM(C11:C22))</f>
        <v>5060</v>
      </c>
      <c r="D23" s="43">
        <f>IF(C11="","",SUM(D11:D22))</f>
        <v>-861</v>
      </c>
      <c r="E23" s="61">
        <f>IF(OR(D23="",D23=0),"",D23/B23)</f>
        <v>-0.14541462590778584</v>
      </c>
      <c r="F23" s="41">
        <f>IF(G17="",F24,F25)</f>
        <v>2053</v>
      </c>
      <c r="G23" s="42">
        <f>IF(G11="","",SUM(G11:G22))</f>
        <v>1929</v>
      </c>
      <c r="H23" s="43">
        <f>IF(G11="","",SUM(H11:H22))</f>
        <v>-124</v>
      </c>
      <c r="I23" s="61">
        <f>IF(OR(H23="",H23=0),"",H23/F23)</f>
        <v>-0.06039941548952752</v>
      </c>
      <c r="J23" s="41">
        <f>IF(K17="",J24,J25)</f>
        <v>631</v>
      </c>
      <c r="K23" s="42">
        <f>IF(K11="","",SUM(K11:K22))</f>
        <v>505</v>
      </c>
      <c r="L23" s="43">
        <f>IF(K11="","",SUM(L11:L22))</f>
        <v>-126</v>
      </c>
      <c r="M23" s="61">
        <f>IF(OR(L23="",L23=0),"",L23/J23)</f>
        <v>-0.19968304278922344</v>
      </c>
      <c r="N23" s="41">
        <f>IF(O17="",N24,N25)</f>
        <v>8605</v>
      </c>
      <c r="O23" s="42">
        <f>IF(O11="","",SUM(O11:O22))</f>
        <v>7494</v>
      </c>
      <c r="P23" s="43">
        <f>IF(O11="","",SUM(P11:P22))</f>
        <v>-1111</v>
      </c>
      <c r="Q23" s="61">
        <f>IF(OR(P23="",P23=0),"",P23/N23)</f>
        <v>-0.12911098198721674</v>
      </c>
    </row>
    <row r="24" spans="1:17" ht="11.25" customHeight="1">
      <c r="A24" s="85" t="s">
        <v>28</v>
      </c>
      <c r="B24" s="90">
        <f>IF(C16&lt;&gt;"",SUM(B11:B16),IF(C15&lt;&gt;"",SUM(B11:B15),IF(C14&lt;&gt;"",SUM(B11:B14),IF(C13&lt;&gt;"",SUM(B11:B13),IF(C12&lt;&gt;"",SUM(B11:B12),B11)))))</f>
        <v>5921</v>
      </c>
      <c r="C24" s="56">
        <f>COUNTIF(C11:C22,"&gt;0")</f>
        <v>3</v>
      </c>
      <c r="D24" s="56"/>
      <c r="E24" s="57"/>
      <c r="F24" s="90">
        <f>IF(G16&lt;&gt;"",SUM(F11:F16),IF(G15&lt;&gt;"",SUM(F11:F15),IF(G14&lt;&gt;"",SUM(F11:F14),IF(G13&lt;&gt;"",SUM(F11:F13),IF(G12&lt;&gt;"",SUM(F11:F12),F11)))))</f>
        <v>2053</v>
      </c>
      <c r="G24" s="56">
        <f>COUNTIF(G11:G22,"&gt;0")</f>
        <v>3</v>
      </c>
      <c r="H24" s="56"/>
      <c r="I24" s="57"/>
      <c r="J24" s="90">
        <f>IF(K16&lt;&gt;"",SUM(J11:J16),IF(K15&lt;&gt;"",SUM(J11:J15),IF(K14&lt;&gt;"",SUM(J11:J14),IF(K13&lt;&gt;"",SUM(J11:J13),IF(K12&lt;&gt;"",SUM(J11:J12),J11)))))</f>
        <v>631</v>
      </c>
      <c r="K24" s="56">
        <f>COUNTIF(K11:K22,"&gt;0")</f>
        <v>3</v>
      </c>
      <c r="L24" s="56"/>
      <c r="M24" s="57"/>
      <c r="N24" s="90">
        <f>IF(O16&lt;&gt;"",SUM(N11:N16),IF(O15&lt;&gt;"",SUM(N11:N15),IF(O14&lt;&gt;"",SUM(N11:N14),IF(O13&lt;&gt;"",SUM(N11:N13),IF(O12&lt;&gt;"",SUM(N11:N12),N11)))))</f>
        <v>8605</v>
      </c>
      <c r="O24" s="56">
        <f>COUNTIF(O11:O22,"&gt;0")</f>
        <v>3</v>
      </c>
      <c r="P24" s="56"/>
      <c r="Q24" s="57"/>
    </row>
    <row r="25" spans="2:14" ht="11.25" customHeight="1">
      <c r="B25" s="88">
        <f>IF(C22&lt;&gt;"",SUM(B11:B22),IF(C21&lt;&gt;"",SUM(B11:B21),IF(C20&lt;&gt;"",SUM(B11:B20),IF(C19&lt;&gt;"",SUM(B11:B19),IF(C18&lt;&gt;"",SUM(B11:B18),SUM(B11:B17))))))</f>
        <v>13761</v>
      </c>
      <c r="F25" s="88">
        <f>IF(G22&lt;&gt;"",SUM(F11:F22),IF(G21&lt;&gt;"",SUM(F11:F21),IF(G20&lt;&gt;"",SUM(F11:F20),IF(G19&lt;&gt;"",SUM(F11:F19),IF(G18&lt;&gt;"",SUM(F11:F18),SUM(F11:F17))))))</f>
        <v>5234</v>
      </c>
      <c r="J25" s="88">
        <f>IF(K22&lt;&gt;"",SUM(J11:J22),IF(K21&lt;&gt;"",SUM(J11:J21),IF(K20&lt;&gt;"",SUM(J11:J20),IF(K19&lt;&gt;"",SUM(J11:J19),IF(K18&lt;&gt;"",SUM(J11:J18),SUM(J11:J17))))))</f>
        <v>1545</v>
      </c>
      <c r="N25" s="88">
        <f>IF(O22&lt;&gt;"",SUM(N11:N22),IF(O21&lt;&gt;"",SUM(N11:N21),IF(O20&lt;&gt;"",SUM(N11:N20),IF(O19&lt;&gt;"",SUM(N11:N19),IF(O18&lt;&gt;"",SUM(N11:N18),SUM(N11:N17))))))</f>
        <v>20540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8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20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  <c r="T29" s="52"/>
    </row>
    <row r="30" spans="1:20" ht="11.25" customHeight="1" thickBot="1">
      <c r="A30" s="84" t="s">
        <v>24</v>
      </c>
      <c r="B30" s="11">
        <f>T43</f>
        <v>64</v>
      </c>
      <c r="C30" s="12">
        <f>U43</f>
        <v>63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11" t="s">
        <v>23</v>
      </c>
      <c r="S30" s="112"/>
      <c r="T30" s="53"/>
    </row>
    <row r="31" spans="1:21" ht="11.25" customHeight="1">
      <c r="A31" s="20" t="s">
        <v>6</v>
      </c>
      <c r="B31" s="75">
        <f aca="true" t="shared" si="10" ref="B31:B42">IF(C11="","",B11/$R31)</f>
        <v>75.0952380952381</v>
      </c>
      <c r="C31" s="78">
        <f aca="true" t="shared" si="11" ref="C31:C42">IF(C11="","",C11/$S31)</f>
        <v>73.04761904761905</v>
      </c>
      <c r="D31" s="74">
        <f>IF(OR(C31="",B31=0),"",C31-B31)</f>
        <v>-2.047619047619051</v>
      </c>
      <c r="E31" s="70">
        <f>IF(D31="","",(C31-B31)/ABS(B31))</f>
        <v>-0.027266962587190913</v>
      </c>
      <c r="F31" s="75">
        <f aca="true" t="shared" si="12" ref="F31:F42">IF(G11="","",F11/$R31)</f>
        <v>27</v>
      </c>
      <c r="G31" s="78">
        <f aca="true" t="shared" si="13" ref="G31:G42">IF(G11="","",G11/$S31)</f>
        <v>26</v>
      </c>
      <c r="H31" s="93">
        <f>IF(OR(G31="",F31=0),"",G31-F31)</f>
        <v>-1</v>
      </c>
      <c r="I31" s="70">
        <f>IF(H31="","",(G31-F31)/ABS(F31))</f>
        <v>-0.037037037037037035</v>
      </c>
      <c r="J31" s="75">
        <f aca="true" t="shared" si="14" ref="J31:J42">IF(K11="","",J11/$R31)</f>
        <v>10.047619047619047</v>
      </c>
      <c r="K31" s="78">
        <f aca="true" t="shared" si="15" ref="K31:K42">IF(K11="","",K11/$S31)</f>
        <v>6</v>
      </c>
      <c r="L31" s="93">
        <f>IF(OR(K31="",J31=0),"",K31-J31)</f>
        <v>-4.0476190476190474</v>
      </c>
      <c r="M31" s="70">
        <f>IF(L31="","",(K31-J31)/ABS(J31))</f>
        <v>-0.4028436018957346</v>
      </c>
      <c r="N31" s="75">
        <f aca="true" t="shared" si="16" ref="N31:N42">IF(O11="","",N11/$R31)</f>
        <v>112.14285714285714</v>
      </c>
      <c r="O31" s="78">
        <f aca="true" t="shared" si="17" ref="O31:O42">IF(O11="","",O11/$S31)</f>
        <v>105.04761904761905</v>
      </c>
      <c r="P31" s="93">
        <f>IF(OR(O31="",N31=0),"",O31-N31)</f>
        <v>-7.095238095238088</v>
      </c>
      <c r="Q31" s="68">
        <f>IF(P31="","",(O31-N31)/ABS(N31))</f>
        <v>-0.06326963906581734</v>
      </c>
      <c r="R31" s="64">
        <v>21</v>
      </c>
      <c r="S31" s="65">
        <v>21</v>
      </c>
      <c r="T31" s="89">
        <f>IF(OR(N31="",N31=0),"",R31)</f>
        <v>21</v>
      </c>
      <c r="U31" s="89">
        <f>IF(OR(O31="",O31=0),"",S31)</f>
        <v>21</v>
      </c>
    </row>
    <row r="32" spans="1:21" ht="11.25" customHeight="1">
      <c r="A32" s="20" t="s">
        <v>7</v>
      </c>
      <c r="B32" s="75">
        <f t="shared" si="10"/>
        <v>100.3</v>
      </c>
      <c r="C32" s="78">
        <f t="shared" si="11"/>
        <v>66.25</v>
      </c>
      <c r="D32" s="74">
        <f aca="true" t="shared" si="18" ref="D32:D42">IF(OR(C32="",B32=0),"",C32-B32)</f>
        <v>-34.05</v>
      </c>
      <c r="E32" s="70">
        <f aca="true" t="shared" si="19" ref="E32:E42">IF(D32="","",(C32-B32)/ABS(B32))</f>
        <v>-0.339481555333998</v>
      </c>
      <c r="F32" s="75">
        <f t="shared" si="12"/>
        <v>33.25</v>
      </c>
      <c r="G32" s="78">
        <f t="shared" si="13"/>
        <v>32.45</v>
      </c>
      <c r="H32" s="93">
        <f aca="true" t="shared" si="20" ref="H32:H42">IF(OR(G32="",F32=0),"",G32-F32)</f>
        <v>-0.7999999999999972</v>
      </c>
      <c r="I32" s="70">
        <f aca="true" t="shared" si="21" ref="I32:I42">IF(H32="","",(G32-F32)/ABS(F32))</f>
        <v>-0.024060150375939764</v>
      </c>
      <c r="J32" s="75">
        <f t="shared" si="14"/>
        <v>10.6</v>
      </c>
      <c r="K32" s="78">
        <f t="shared" si="15"/>
        <v>8.4</v>
      </c>
      <c r="L32" s="93">
        <f aca="true" t="shared" si="22" ref="L32:L42">IF(OR(K32="",J32=0),"",K32-J32)</f>
        <v>-2.1999999999999993</v>
      </c>
      <c r="M32" s="70">
        <f aca="true" t="shared" si="23" ref="M32:M42">IF(L32="","",(K32-J32)/ABS(J32))</f>
        <v>-0.20754716981132068</v>
      </c>
      <c r="N32" s="75">
        <f t="shared" si="16"/>
        <v>144.15</v>
      </c>
      <c r="O32" s="78">
        <f t="shared" si="17"/>
        <v>107.1</v>
      </c>
      <c r="P32" s="93">
        <f aca="true" t="shared" si="24" ref="P32:P42">IF(OR(O32="",N32=0),"",O32-N32)</f>
        <v>-37.05000000000001</v>
      </c>
      <c r="Q32" s="68">
        <f aca="true" t="shared" si="25" ref="Q32:Q42">IF(P32="","",(O32-N32)/ABS(N32))</f>
        <v>-0.2570239334027056</v>
      </c>
      <c r="R32" s="64">
        <v>20</v>
      </c>
      <c r="S32" s="65">
        <v>20</v>
      </c>
      <c r="T32" s="89">
        <f aca="true" t="shared" si="26" ref="T32:T42">IF(OR(N32="",N32=0),"",R32)</f>
        <v>20</v>
      </c>
      <c r="U32" s="89">
        <f aca="true" t="shared" si="27" ref="U32:U42">IF(OR(O32="",O32=0),"",S32)</f>
        <v>20</v>
      </c>
    </row>
    <row r="33" spans="1:21" ht="11.25" customHeight="1">
      <c r="A33" s="46" t="s">
        <v>8</v>
      </c>
      <c r="B33" s="76">
        <f t="shared" si="10"/>
        <v>101.65217391304348</v>
      </c>
      <c r="C33" s="79">
        <f t="shared" si="11"/>
        <v>100.04545454545455</v>
      </c>
      <c r="D33" s="81">
        <f t="shared" si="18"/>
        <v>-1.606719367588937</v>
      </c>
      <c r="E33" s="71">
        <f t="shared" si="19"/>
        <v>-0.015806050237188004</v>
      </c>
      <c r="F33" s="76">
        <f t="shared" si="12"/>
        <v>35.69565217391305</v>
      </c>
      <c r="G33" s="79">
        <f t="shared" si="13"/>
        <v>33.36363636363637</v>
      </c>
      <c r="H33" s="94">
        <f t="shared" si="20"/>
        <v>-2.3320158102766797</v>
      </c>
      <c r="I33" s="71">
        <f t="shared" si="21"/>
        <v>-0.06533052818071088</v>
      </c>
      <c r="J33" s="76">
        <f t="shared" si="14"/>
        <v>9.043478260869565</v>
      </c>
      <c r="K33" s="79">
        <f t="shared" si="15"/>
        <v>9.590909090909092</v>
      </c>
      <c r="L33" s="94">
        <f t="shared" si="22"/>
        <v>0.5474308300395272</v>
      </c>
      <c r="M33" s="71">
        <f t="shared" si="23"/>
        <v>0.06053321678321696</v>
      </c>
      <c r="N33" s="76">
        <f t="shared" si="16"/>
        <v>146.3913043478261</v>
      </c>
      <c r="O33" s="79">
        <f t="shared" si="17"/>
        <v>143</v>
      </c>
      <c r="P33" s="94">
        <f t="shared" si="24"/>
        <v>-3.391304347826093</v>
      </c>
      <c r="Q33" s="69">
        <f t="shared" si="25"/>
        <v>-0.023166023166023206</v>
      </c>
      <c r="R33" s="66">
        <v>23</v>
      </c>
      <c r="S33" s="98">
        <v>22</v>
      </c>
      <c r="T33" s="89">
        <f t="shared" si="26"/>
        <v>23</v>
      </c>
      <c r="U33" s="89">
        <f t="shared" si="27"/>
        <v>22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8"/>
      </c>
      <c r="E34" s="70">
        <f t="shared" si="19"/>
      </c>
      <c r="F34" s="75">
        <f t="shared" si="12"/>
      </c>
      <c r="G34" s="78">
        <f t="shared" si="13"/>
      </c>
      <c r="H34" s="93">
        <f t="shared" si="20"/>
      </c>
      <c r="I34" s="70">
        <f t="shared" si="21"/>
      </c>
      <c r="J34" s="75">
        <f t="shared" si="14"/>
      </c>
      <c r="K34" s="78">
        <f t="shared" si="15"/>
      </c>
      <c r="L34" s="93">
        <f t="shared" si="22"/>
      </c>
      <c r="M34" s="70">
        <f t="shared" si="23"/>
      </c>
      <c r="N34" s="75">
        <f t="shared" si="16"/>
      </c>
      <c r="O34" s="78">
        <f t="shared" si="17"/>
      </c>
      <c r="P34" s="93">
        <f t="shared" si="24"/>
      </c>
      <c r="Q34" s="68">
        <f t="shared" si="25"/>
      </c>
      <c r="R34" s="64">
        <v>19</v>
      </c>
      <c r="S34" s="65">
        <v>20</v>
      </c>
      <c r="T34" s="89">
        <f t="shared" si="26"/>
      </c>
      <c r="U34" s="89">
        <f t="shared" si="27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8"/>
      </c>
      <c r="E35" s="70">
        <f t="shared" si="19"/>
      </c>
      <c r="F35" s="75">
        <f t="shared" si="12"/>
      </c>
      <c r="G35" s="78">
        <f t="shared" si="13"/>
      </c>
      <c r="H35" s="93">
        <f t="shared" si="20"/>
      </c>
      <c r="I35" s="70">
        <f t="shared" si="21"/>
      </c>
      <c r="J35" s="75">
        <f t="shared" si="14"/>
      </c>
      <c r="K35" s="78">
        <f t="shared" si="15"/>
      </c>
      <c r="L35" s="93">
        <f t="shared" si="22"/>
      </c>
      <c r="M35" s="70">
        <f t="shared" si="23"/>
      </c>
      <c r="N35" s="75">
        <f t="shared" si="16"/>
      </c>
      <c r="O35" s="78">
        <f t="shared" si="17"/>
      </c>
      <c r="P35" s="93">
        <f t="shared" si="24"/>
      </c>
      <c r="Q35" s="68">
        <f t="shared" si="25"/>
      </c>
      <c r="R35" s="64">
        <v>22</v>
      </c>
      <c r="S35" s="65">
        <v>19</v>
      </c>
      <c r="T35" s="89">
        <f t="shared" si="26"/>
      </c>
      <c r="U35" s="89">
        <f t="shared" si="27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8"/>
      </c>
      <c r="E36" s="71">
        <f t="shared" si="19"/>
      </c>
      <c r="F36" s="76">
        <f t="shared" si="12"/>
      </c>
      <c r="G36" s="79">
        <f t="shared" si="13"/>
      </c>
      <c r="H36" s="94">
        <f t="shared" si="20"/>
      </c>
      <c r="I36" s="71">
        <f t="shared" si="21"/>
      </c>
      <c r="J36" s="76">
        <f t="shared" si="14"/>
      </c>
      <c r="K36" s="79">
        <f t="shared" si="15"/>
      </c>
      <c r="L36" s="94">
        <f t="shared" si="22"/>
      </c>
      <c r="M36" s="71">
        <f t="shared" si="23"/>
      </c>
      <c r="N36" s="76">
        <f t="shared" si="16"/>
      </c>
      <c r="O36" s="79">
        <f t="shared" si="17"/>
      </c>
      <c r="P36" s="94">
        <f t="shared" si="24"/>
      </c>
      <c r="Q36" s="69">
        <f t="shared" si="25"/>
      </c>
      <c r="R36" s="66">
        <v>20</v>
      </c>
      <c r="S36" s="98">
        <v>21</v>
      </c>
      <c r="T36" s="89">
        <f t="shared" si="26"/>
      </c>
      <c r="U36" s="89">
        <f t="shared" si="27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8"/>
      </c>
      <c r="E37" s="70">
        <f t="shared" si="19"/>
      </c>
      <c r="F37" s="75">
        <f t="shared" si="12"/>
      </c>
      <c r="G37" s="78">
        <f t="shared" si="13"/>
      </c>
      <c r="H37" s="93">
        <f t="shared" si="20"/>
      </c>
      <c r="I37" s="70">
        <f t="shared" si="21"/>
      </c>
      <c r="J37" s="75">
        <f t="shared" si="14"/>
      </c>
      <c r="K37" s="78">
        <f t="shared" si="15"/>
      </c>
      <c r="L37" s="93">
        <f t="shared" si="22"/>
      </c>
      <c r="M37" s="70">
        <f t="shared" si="23"/>
      </c>
      <c r="N37" s="75">
        <f t="shared" si="16"/>
      </c>
      <c r="O37" s="78">
        <f t="shared" si="17"/>
      </c>
      <c r="P37" s="93">
        <f t="shared" si="24"/>
      </c>
      <c r="Q37" s="68">
        <f t="shared" si="25"/>
      </c>
      <c r="R37" s="64">
        <v>21</v>
      </c>
      <c r="S37" s="65">
        <v>23</v>
      </c>
      <c r="T37" s="89">
        <f t="shared" si="26"/>
      </c>
      <c r="U37" s="89">
        <f t="shared" si="27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8"/>
      </c>
      <c r="E38" s="70">
        <f t="shared" si="19"/>
      </c>
      <c r="F38" s="75">
        <f t="shared" si="12"/>
      </c>
      <c r="G38" s="78">
        <f t="shared" si="13"/>
      </c>
      <c r="H38" s="93">
        <f t="shared" si="20"/>
      </c>
      <c r="I38" s="70">
        <f t="shared" si="21"/>
      </c>
      <c r="J38" s="75">
        <f t="shared" si="14"/>
      </c>
      <c r="K38" s="78">
        <f t="shared" si="15"/>
      </c>
      <c r="L38" s="93">
        <f t="shared" si="22"/>
      </c>
      <c r="M38" s="70">
        <f t="shared" si="23"/>
      </c>
      <c r="N38" s="75">
        <f t="shared" si="16"/>
      </c>
      <c r="O38" s="78">
        <f t="shared" si="17"/>
      </c>
      <c r="P38" s="93">
        <f t="shared" si="24"/>
      </c>
      <c r="Q38" s="68">
        <f t="shared" si="25"/>
      </c>
      <c r="R38" s="64">
        <v>22</v>
      </c>
      <c r="S38" s="65">
        <v>21</v>
      </c>
      <c r="T38" s="89">
        <f t="shared" si="26"/>
      </c>
      <c r="U38" s="89">
        <f t="shared" si="27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8"/>
      </c>
      <c r="E39" s="71">
        <f t="shared" si="19"/>
      </c>
      <c r="F39" s="76">
        <f t="shared" si="12"/>
      </c>
      <c r="G39" s="79">
        <f t="shared" si="13"/>
      </c>
      <c r="H39" s="94">
        <f t="shared" si="20"/>
      </c>
      <c r="I39" s="71">
        <f t="shared" si="21"/>
      </c>
      <c r="J39" s="76">
        <f t="shared" si="14"/>
      </c>
      <c r="K39" s="79">
        <f t="shared" si="15"/>
      </c>
      <c r="L39" s="94">
        <f t="shared" si="22"/>
      </c>
      <c r="M39" s="71">
        <f t="shared" si="23"/>
      </c>
      <c r="N39" s="76">
        <f t="shared" si="16"/>
      </c>
      <c r="O39" s="79">
        <f t="shared" si="17"/>
      </c>
      <c r="P39" s="94">
        <f t="shared" si="24"/>
      </c>
      <c r="Q39" s="69">
        <f t="shared" si="25"/>
      </c>
      <c r="R39" s="66">
        <v>22</v>
      </c>
      <c r="S39" s="98">
        <v>22</v>
      </c>
      <c r="T39" s="89">
        <f t="shared" si="26"/>
      </c>
      <c r="U39" s="89">
        <f t="shared" si="27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8"/>
      </c>
      <c r="E40" s="70">
        <f t="shared" si="19"/>
      </c>
      <c r="F40" s="75">
        <f t="shared" si="12"/>
      </c>
      <c r="G40" s="78">
        <f t="shared" si="13"/>
      </c>
      <c r="H40" s="93">
        <f t="shared" si="20"/>
      </c>
      <c r="I40" s="70">
        <f t="shared" si="21"/>
      </c>
      <c r="J40" s="75">
        <f t="shared" si="14"/>
      </c>
      <c r="K40" s="78">
        <f t="shared" si="15"/>
      </c>
      <c r="L40" s="93">
        <f t="shared" si="22"/>
      </c>
      <c r="M40" s="70">
        <f t="shared" si="23"/>
      </c>
      <c r="N40" s="75">
        <f t="shared" si="16"/>
      </c>
      <c r="O40" s="78">
        <f t="shared" si="17"/>
      </c>
      <c r="P40" s="93">
        <f t="shared" si="24"/>
      </c>
      <c r="Q40" s="68">
        <f t="shared" si="25"/>
      </c>
      <c r="R40" s="64">
        <v>21</v>
      </c>
      <c r="S40" s="65">
        <v>22</v>
      </c>
      <c r="T40" s="89">
        <f t="shared" si="26"/>
      </c>
      <c r="U40" s="89">
        <f t="shared" si="27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8"/>
      </c>
      <c r="E41" s="70">
        <f t="shared" si="19"/>
      </c>
      <c r="F41" s="75">
        <f t="shared" si="12"/>
      </c>
      <c r="G41" s="78">
        <f t="shared" si="13"/>
      </c>
      <c r="H41" s="93">
        <f t="shared" si="20"/>
      </c>
      <c r="I41" s="70">
        <f t="shared" si="21"/>
      </c>
      <c r="J41" s="75">
        <f t="shared" si="14"/>
      </c>
      <c r="K41" s="78">
        <f t="shared" si="15"/>
      </c>
      <c r="L41" s="93">
        <f t="shared" si="22"/>
      </c>
      <c r="M41" s="70">
        <f t="shared" si="23"/>
      </c>
      <c r="N41" s="75">
        <f t="shared" si="16"/>
      </c>
      <c r="O41" s="78">
        <f t="shared" si="17"/>
      </c>
      <c r="P41" s="93">
        <f t="shared" si="24"/>
      </c>
      <c r="Q41" s="68">
        <f t="shared" si="25"/>
      </c>
      <c r="R41" s="64">
        <v>22</v>
      </c>
      <c r="S41" s="65">
        <v>21</v>
      </c>
      <c r="T41" s="89">
        <f t="shared" si="26"/>
      </c>
      <c r="U41" s="89">
        <f t="shared" si="27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8"/>
      </c>
      <c r="E42" s="70">
        <f t="shared" si="19"/>
      </c>
      <c r="F42" s="75">
        <f t="shared" si="12"/>
      </c>
      <c r="G42" s="78">
        <f t="shared" si="13"/>
      </c>
      <c r="H42" s="93">
        <f t="shared" si="20"/>
      </c>
      <c r="I42" s="70">
        <f t="shared" si="21"/>
      </c>
      <c r="J42" s="75">
        <f t="shared" si="14"/>
      </c>
      <c r="K42" s="78">
        <f t="shared" si="15"/>
      </c>
      <c r="L42" s="93">
        <f t="shared" si="22"/>
      </c>
      <c r="M42" s="70">
        <f t="shared" si="23"/>
      </c>
      <c r="N42" s="75">
        <f t="shared" si="16"/>
      </c>
      <c r="O42" s="78">
        <f t="shared" si="17"/>
      </c>
      <c r="P42" s="93">
        <f t="shared" si="24"/>
      </c>
      <c r="Q42" s="68">
        <f t="shared" si="25"/>
      </c>
      <c r="R42" s="64">
        <v>21</v>
      </c>
      <c r="S42" s="65">
        <v>22</v>
      </c>
      <c r="T42" s="89">
        <f t="shared" si="26"/>
      </c>
      <c r="U42" s="89">
        <f t="shared" si="27"/>
      </c>
    </row>
    <row r="43" spans="1:21" ht="11.25" customHeight="1" thickBot="1">
      <c r="A43" s="45" t="s">
        <v>29</v>
      </c>
      <c r="B43" s="77">
        <f>IF(B23=0,"",SUM(B31:B42)/B44)</f>
        <v>92.34913733609386</v>
      </c>
      <c r="C43" s="80">
        <f>IF(OR(C23=0,C23=""),"",SUM(C31:C42)/C44)</f>
        <v>79.78102453102453</v>
      </c>
      <c r="D43" s="72">
        <f>IF(B23=0,"",AVERAGE(D31:D42))</f>
        <v>-12.568112805069328</v>
      </c>
      <c r="E43" s="62">
        <f>IF(B23=0,"",AVERAGE(E31:E42))</f>
        <v>-0.12751818938612564</v>
      </c>
      <c r="F43" s="77">
        <f>IF(F23=0,"",SUM(F31:F42)/F44)</f>
        <v>31.981884057971016</v>
      </c>
      <c r="G43" s="80">
        <f>IF(OR(G23=0,G23=""),"",SUM(G31:G42)/G44)</f>
        <v>30.604545454545455</v>
      </c>
      <c r="H43" s="72">
        <f>IF(F23=0,"",AVERAGE(H31:H42))</f>
        <v>-1.377338603425559</v>
      </c>
      <c r="I43" s="62">
        <f>IF(F23=0,"",AVERAGE(I31:I42))</f>
        <v>-0.04214257186456256</v>
      </c>
      <c r="J43" s="77">
        <f>IF(J23=0,"",SUM(J31:J42)/J44)</f>
        <v>9.897032436162869</v>
      </c>
      <c r="K43" s="80">
        <f>IF(OR(K23=0,K23=""),"",SUM(K31:K42)/K44)</f>
        <v>7.996969696969697</v>
      </c>
      <c r="L43" s="72">
        <f>IF(J23=0,"",AVERAGE(L31:L42))</f>
        <v>-1.9000627391931733</v>
      </c>
      <c r="M43" s="62">
        <f>IF(J23=0,"",AVERAGE(M31:M42))</f>
        <v>-0.18328585164127942</v>
      </c>
      <c r="N43" s="77">
        <f>IF(N23=0,"",SUM(N31:N42)/N44)</f>
        <v>134.22805383022774</v>
      </c>
      <c r="O43" s="80">
        <f>IF(OR(O23=0,O23=""),"",SUM(O31:O42)/O44)</f>
        <v>118.38253968253969</v>
      </c>
      <c r="P43" s="72">
        <f>IF(N23=0,"",AVERAGE(P31:P42))</f>
        <v>-15.845514147688064</v>
      </c>
      <c r="Q43" s="62">
        <f>IF(N23=0,"",AVERAGE(Q31:Q42))</f>
        <v>-0.11448653187818204</v>
      </c>
      <c r="R43" s="67">
        <f>SUM(R31:R42)</f>
        <v>254</v>
      </c>
      <c r="S43" s="99">
        <f>SUM(S31:S42)</f>
        <v>254</v>
      </c>
      <c r="T43" s="89">
        <f>SUM(T31:T42)</f>
        <v>64</v>
      </c>
      <c r="U43" s="88">
        <f>SUM(U31:U42)</f>
        <v>63</v>
      </c>
    </row>
    <row r="44" spans="1:17" s="30" customFormat="1" ht="11.25" customHeight="1">
      <c r="A44" s="86" t="s">
        <v>28</v>
      </c>
      <c r="B44" s="58">
        <f>COUNTIF(B31:B42,"&gt;0")</f>
        <v>3</v>
      </c>
      <c r="C44" s="58">
        <f>COUNTIF(C31:C42,"&gt;0")</f>
        <v>3</v>
      </c>
      <c r="D44" s="59"/>
      <c r="E44" s="60"/>
      <c r="F44" s="58">
        <f>COUNTIF(F31:F42,"&gt;0")</f>
        <v>3</v>
      </c>
      <c r="G44" s="58">
        <f>COUNTIF(G31:G42,"&gt;0")</f>
        <v>3</v>
      </c>
      <c r="H44" s="59"/>
      <c r="I44" s="60"/>
      <c r="J44" s="58">
        <f>COUNTIF(J31:J42,"&gt;0")</f>
        <v>3</v>
      </c>
      <c r="K44" s="58">
        <f>COUNTIF(K31:K42,"&gt;0")</f>
        <v>3</v>
      </c>
      <c r="L44" s="59"/>
      <c r="M44" s="60"/>
      <c r="N44" s="58">
        <f>COUNTIF(N31:N42,"&gt;0")</f>
        <v>3</v>
      </c>
      <c r="O44" s="58">
        <f>COUNTIF(O31:O42,"&gt;0")</f>
        <v>3</v>
      </c>
      <c r="P44" s="59"/>
      <c r="Q44" s="60"/>
    </row>
    <row r="45" spans="1:15" ht="11.25" customHeight="1">
      <c r="A45"/>
      <c r="B45"/>
      <c r="C45"/>
      <c r="D45"/>
      <c r="E45"/>
      <c r="F45"/>
      <c r="G45" s="73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B2:E2"/>
    <mergeCell ref="B3:C3"/>
    <mergeCell ref="D3:E3"/>
    <mergeCell ref="B28:E28"/>
    <mergeCell ref="B26:E27"/>
    <mergeCell ref="B6:E7"/>
    <mergeCell ref="J28:M28"/>
    <mergeCell ref="N28:Q28"/>
    <mergeCell ref="L9:M9"/>
    <mergeCell ref="P9:Q9"/>
    <mergeCell ref="N8:Q8"/>
    <mergeCell ref="J8:M8"/>
    <mergeCell ref="R30:S30"/>
    <mergeCell ref="B8:E8"/>
    <mergeCell ref="D29:E29"/>
    <mergeCell ref="H29:I29"/>
    <mergeCell ref="L29:M29"/>
    <mergeCell ref="P29:Q29"/>
    <mergeCell ref="D9:E9"/>
    <mergeCell ref="H9:I9"/>
    <mergeCell ref="F8:I8"/>
    <mergeCell ref="F28:I28"/>
  </mergeCells>
  <conditionalFormatting sqref="J13:J22 B13:B16 F13:F22 N13:N22 B18:B21">
    <cfRule type="expression" priority="1" dxfId="0" stopIfTrue="1">
      <formula>C13=""</formula>
    </cfRule>
  </conditionalFormatting>
  <conditionalFormatting sqref="B17 B22 F12 J12 N12">
    <cfRule type="expression" priority="2" dxfId="0" stopIfTrue="1">
      <formula>C12=""</formula>
    </cfRule>
  </conditionalFormatting>
  <conditionalFormatting sqref="S31:S43">
    <cfRule type="expression" priority="3" dxfId="3" stopIfTrue="1">
      <formula>S31&lt;$R31</formula>
    </cfRule>
    <cfRule type="expression" priority="4" dxfId="2" stopIfTrue="1">
      <formula>S31&gt;$R31</formula>
    </cfRule>
  </conditionalFormatting>
  <conditionalFormatting sqref="B12">
    <cfRule type="expression" priority="5" dxfId="0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2:U60"/>
  <sheetViews>
    <sheetView showGridLines="0" tabSelected="1" zoomScalePageLayoutView="0" workbookViewId="0" topLeftCell="A1">
      <selection activeCell="G1" sqref="G1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7" t="s">
        <v>27</v>
      </c>
      <c r="B2" s="127" t="s">
        <v>54</v>
      </c>
      <c r="C2" s="127"/>
      <c r="D2" s="127"/>
      <c r="E2" s="127"/>
      <c r="Q2" s="92"/>
    </row>
    <row r="3" spans="1:17" ht="13.5" customHeight="1">
      <c r="A3" s="1"/>
      <c r="B3" s="128" t="s">
        <v>20</v>
      </c>
      <c r="C3" s="128"/>
      <c r="D3" s="142" t="s">
        <v>25</v>
      </c>
      <c r="E3" s="142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f>SUM('BON-SN'!B11,'BSL-SN'!B11,'BWA-SN'!B11,'RFA-SN'!B11)</f>
        <v>27735</v>
      </c>
      <c r="C11" s="47">
        <f>IF('BON-SN'!C11="","",SUM('BON-SN'!C11,'BSL-SN'!C11,'BWA-SN'!C11,'RFA-SN'!C11))</f>
        <v>28163</v>
      </c>
      <c r="D11" s="21">
        <f aca="true" t="shared" si="0" ref="D11:D22">IF(C11="","",C11-B11)</f>
        <v>428</v>
      </c>
      <c r="E11" s="68">
        <f aca="true" t="shared" si="1" ref="E11:E23">IF(D11="","",D11/B11)</f>
        <v>0.01543176491797368</v>
      </c>
      <c r="F11" s="38">
        <f>SUM('BON-SN'!F11,'BSL-SN'!F11,'BWA-SN'!F11,'RFA-SN'!F11)</f>
        <v>35210</v>
      </c>
      <c r="G11" s="47">
        <f>IF('BON-SN'!G11="","",SUM('BON-SN'!G11,'BSL-SN'!G11,'BWA-SN'!G11,'RFA-SN'!G11))</f>
        <v>32808</v>
      </c>
      <c r="H11" s="21">
        <f aca="true" t="shared" si="2" ref="H11:H22">IF(G11="","",G11-F11)</f>
        <v>-2402</v>
      </c>
      <c r="I11" s="68">
        <f aca="true" t="shared" si="3" ref="I11:I23">IF(H11="","",H11/F11)</f>
        <v>-0.06821925589321215</v>
      </c>
      <c r="J11" s="38">
        <f>SUM('BON-SN'!J11,'BSL-SN'!J11,'BWA-SN'!J11,'RFA-SN'!J11)</f>
        <v>23500</v>
      </c>
      <c r="K11" s="47">
        <f>IF('BON-SN'!K11="","",SUM('BON-SN'!K11,'BSL-SN'!K11,'BWA-SN'!K11,'RFA-SN'!K11))</f>
        <v>23988</v>
      </c>
      <c r="L11" s="21">
        <f aca="true" t="shared" si="4" ref="L11:L22">IF(K11="","",K11-J11)</f>
        <v>488</v>
      </c>
      <c r="M11" s="68">
        <f aca="true" t="shared" si="5" ref="M11:M23">IF(L11="","",L11/J11)</f>
        <v>0.020765957446808512</v>
      </c>
      <c r="N11" s="38">
        <f>SUM(B11,F11,J11)</f>
        <v>86445</v>
      </c>
      <c r="O11" s="34">
        <f aca="true" t="shared" si="6" ref="O11:O22">IF(C11="","",SUM(C11,G11,K11))</f>
        <v>84959</v>
      </c>
      <c r="P11" s="21">
        <f aca="true" t="shared" si="7" ref="P11:P22">IF(O11="","",O11-N11)</f>
        <v>-1486</v>
      </c>
      <c r="Q11" s="68">
        <f aca="true" t="shared" si="8" ref="Q11:Q23">IF(P11="","",P11/N11)</f>
        <v>-0.017190120886112558</v>
      </c>
    </row>
    <row r="12" spans="1:17" ht="11.25" customHeight="1">
      <c r="A12" s="20" t="s">
        <v>7</v>
      </c>
      <c r="B12" s="38">
        <f>SUM('BON-SN'!B12,'BSL-SN'!B12,'BWA-SN'!B12,'RFA-SN'!B12)</f>
        <v>29874</v>
      </c>
      <c r="C12" s="47">
        <f>IF('BON-SN'!C12="","",SUM('BON-SN'!C12,'BSL-SN'!C12,'BWA-SN'!C12,'RFA-SN'!C12))</f>
        <v>29043</v>
      </c>
      <c r="D12" s="21">
        <f t="shared" si="0"/>
        <v>-831</v>
      </c>
      <c r="E12" s="68">
        <f t="shared" si="1"/>
        <v>-0.027816830688893353</v>
      </c>
      <c r="F12" s="38">
        <f>SUM('BON-SN'!F12,'BSL-SN'!F12,'BWA-SN'!F12,'RFA-SN'!F12)</f>
        <v>37796</v>
      </c>
      <c r="G12" s="47">
        <f>IF('BON-SN'!G12="","",SUM('BON-SN'!G12,'BSL-SN'!G12,'BWA-SN'!G12,'RFA-SN'!G12))</f>
        <v>36207</v>
      </c>
      <c r="H12" s="21">
        <f t="shared" si="2"/>
        <v>-1589</v>
      </c>
      <c r="I12" s="68">
        <f t="shared" si="3"/>
        <v>-0.042041485871520796</v>
      </c>
      <c r="J12" s="38">
        <f>SUM('BON-SN'!J12,'BSL-SN'!J12,'BWA-SN'!J12,'RFA-SN'!J12)</f>
        <v>26303</v>
      </c>
      <c r="K12" s="47">
        <f>IF('BON-SN'!K12="","",SUM('BON-SN'!K12,'BSL-SN'!K12,'BWA-SN'!K12,'RFA-SN'!K12))</f>
        <v>25141</v>
      </c>
      <c r="L12" s="21">
        <f t="shared" si="4"/>
        <v>-1162</v>
      </c>
      <c r="M12" s="68">
        <f t="shared" si="5"/>
        <v>-0.044177470250541764</v>
      </c>
      <c r="N12" s="38">
        <f aca="true" t="shared" si="9" ref="N12:N22">SUM(B12,F12,J12)</f>
        <v>93973</v>
      </c>
      <c r="O12" s="34">
        <f t="shared" si="6"/>
        <v>90391</v>
      </c>
      <c r="P12" s="21">
        <f t="shared" si="7"/>
        <v>-3582</v>
      </c>
      <c r="Q12" s="68">
        <f t="shared" si="8"/>
        <v>-0.038117331573962736</v>
      </c>
    </row>
    <row r="13" spans="1:17" ht="11.25" customHeight="1">
      <c r="A13" s="20" t="s">
        <v>8</v>
      </c>
      <c r="B13" s="40">
        <f>SUM('BON-SN'!B13,'BSL-SN'!B13,'BWA-SN'!B13,'RFA-SN'!B13)</f>
        <v>35378</v>
      </c>
      <c r="C13" s="48">
        <f>IF('BON-SN'!C13="","",SUM('BON-SN'!C13,'BSL-SN'!C13,'BWA-SN'!C13,'RFA-SN'!C13))</f>
        <v>32765</v>
      </c>
      <c r="D13" s="22">
        <f t="shared" si="0"/>
        <v>-2613</v>
      </c>
      <c r="E13" s="69">
        <f t="shared" si="1"/>
        <v>-0.07385946068177963</v>
      </c>
      <c r="F13" s="40">
        <f>SUM('BON-SN'!F13,'BSL-SN'!F13,'BWA-SN'!F13,'RFA-SN'!F13)</f>
        <v>43295</v>
      </c>
      <c r="G13" s="48">
        <f>IF('BON-SN'!G13="","",SUM('BON-SN'!G13,'BSL-SN'!G13,'BWA-SN'!G13,'RFA-SN'!G13))</f>
        <v>40265</v>
      </c>
      <c r="H13" s="22">
        <f t="shared" si="2"/>
        <v>-3030</v>
      </c>
      <c r="I13" s="69">
        <f t="shared" si="3"/>
        <v>-0.06998498671902068</v>
      </c>
      <c r="J13" s="40">
        <f>SUM('BON-SN'!J13,'BSL-SN'!J13,'BWA-SN'!J13,'RFA-SN'!J13)</f>
        <v>32627</v>
      </c>
      <c r="K13" s="48">
        <f>IF('BON-SN'!K13="","",SUM('BON-SN'!K13,'BSL-SN'!K13,'BWA-SN'!K13,'RFA-SN'!K13))</f>
        <v>31205</v>
      </c>
      <c r="L13" s="22">
        <f t="shared" si="4"/>
        <v>-1422</v>
      </c>
      <c r="M13" s="69">
        <f t="shared" si="5"/>
        <v>-0.043583535108958835</v>
      </c>
      <c r="N13" s="40">
        <f t="shared" si="9"/>
        <v>111300</v>
      </c>
      <c r="O13" s="35">
        <f t="shared" si="6"/>
        <v>104235</v>
      </c>
      <c r="P13" s="22">
        <f t="shared" si="7"/>
        <v>-7065</v>
      </c>
      <c r="Q13" s="69">
        <f t="shared" si="8"/>
        <v>-0.06347708894878706</v>
      </c>
    </row>
    <row r="14" spans="1:17" ht="11.25" customHeight="1">
      <c r="A14" s="20" t="s">
        <v>9</v>
      </c>
      <c r="B14" s="38">
        <f>SUM('BON-SN'!B14,'BSL-SN'!B14,'BWA-SN'!B14,'RFA-SN'!B14)</f>
        <v>30045</v>
      </c>
      <c r="C14" s="47">
        <f>IF('BON-SN'!C14="","",SUM('BON-SN'!C14,'BSL-SN'!C14,'BWA-SN'!C14,'RFA-SN'!C14))</f>
      </c>
      <c r="D14" s="21">
        <f t="shared" si="0"/>
      </c>
      <c r="E14" s="68">
        <f t="shared" si="1"/>
      </c>
      <c r="F14" s="38">
        <f>SUM('BON-SN'!F14,'BSL-SN'!F14,'BWA-SN'!F14,'RFA-SN'!F14)</f>
        <v>37632</v>
      </c>
      <c r="G14" s="47">
        <f>IF('BON-SN'!G14="","",SUM('BON-SN'!G14,'BSL-SN'!G14,'BWA-SN'!G14,'RFA-SN'!G14))</f>
      </c>
      <c r="H14" s="21">
        <f t="shared" si="2"/>
      </c>
      <c r="I14" s="68">
        <f t="shared" si="3"/>
      </c>
      <c r="J14" s="38">
        <f>SUM('BON-SN'!J14,'BSL-SN'!J14,'BWA-SN'!J14,'RFA-SN'!J14)</f>
        <v>28387</v>
      </c>
      <c r="K14" s="47">
        <f>IF('BON-SN'!K14="","",SUM('BON-SN'!K14,'BSL-SN'!K14,'BWA-SN'!K14,'RFA-SN'!K14))</f>
      </c>
      <c r="L14" s="21">
        <f t="shared" si="4"/>
      </c>
      <c r="M14" s="68">
        <f t="shared" si="5"/>
      </c>
      <c r="N14" s="38">
        <f t="shared" si="9"/>
        <v>96064</v>
      </c>
      <c r="O14" s="34">
        <f t="shared" si="6"/>
      </c>
      <c r="P14" s="21">
        <f t="shared" si="7"/>
      </c>
      <c r="Q14" s="68">
        <f t="shared" si="8"/>
      </c>
    </row>
    <row r="15" spans="1:17" ht="11.25" customHeight="1">
      <c r="A15" s="20" t="s">
        <v>10</v>
      </c>
      <c r="B15" s="38">
        <f>SUM('BON-SN'!B15,'BSL-SN'!B15,'BWA-SN'!B15,'RFA-SN'!B15)</f>
        <v>32937</v>
      </c>
      <c r="C15" s="47">
        <f>IF('BON-SN'!C15="","",SUM('BON-SN'!C15,'BSL-SN'!C15,'BWA-SN'!C15,'RFA-SN'!C15))</f>
      </c>
      <c r="D15" s="21">
        <f t="shared" si="0"/>
      </c>
      <c r="E15" s="68">
        <f t="shared" si="1"/>
      </c>
      <c r="F15" s="38">
        <f>SUM('BON-SN'!F15,'BSL-SN'!F15,'BWA-SN'!F15,'RFA-SN'!F15)</f>
        <v>40090</v>
      </c>
      <c r="G15" s="47">
        <f>IF('BON-SN'!G15="","",SUM('BON-SN'!G15,'BSL-SN'!G15,'BWA-SN'!G15,'RFA-SN'!G15))</f>
      </c>
      <c r="H15" s="21">
        <f t="shared" si="2"/>
      </c>
      <c r="I15" s="68">
        <f t="shared" si="3"/>
      </c>
      <c r="J15" s="38">
        <f>SUM('BON-SN'!J15,'BSL-SN'!J15,'BWA-SN'!J15,'RFA-SN'!J15)</f>
        <v>31662</v>
      </c>
      <c r="K15" s="47">
        <f>IF('BON-SN'!K15="","",SUM('BON-SN'!K15,'BSL-SN'!K15,'BWA-SN'!K15,'RFA-SN'!K15))</f>
      </c>
      <c r="L15" s="21">
        <f t="shared" si="4"/>
      </c>
      <c r="M15" s="68">
        <f t="shared" si="5"/>
      </c>
      <c r="N15" s="38">
        <f t="shared" si="9"/>
        <v>104689</v>
      </c>
      <c r="O15" s="34">
        <f t="shared" si="6"/>
      </c>
      <c r="P15" s="21">
        <f t="shared" si="7"/>
      </c>
      <c r="Q15" s="68">
        <f t="shared" si="8"/>
      </c>
    </row>
    <row r="16" spans="1:17" ht="11.25" customHeight="1">
      <c r="A16" s="20" t="s">
        <v>11</v>
      </c>
      <c r="B16" s="40">
        <f>SUM('BON-SN'!B16,'BSL-SN'!B16,'BWA-SN'!B16,'RFA-SN'!B16)</f>
        <v>30374</v>
      </c>
      <c r="C16" s="48">
        <f>IF('BON-SN'!C16="","",SUM('BON-SN'!C16,'BSL-SN'!C16,'BWA-SN'!C16,'RFA-SN'!C16))</f>
      </c>
      <c r="D16" s="22">
        <f t="shared" si="0"/>
      </c>
      <c r="E16" s="69">
        <f t="shared" si="1"/>
      </c>
      <c r="F16" s="40">
        <f>SUM('BON-SN'!F16,'BSL-SN'!F16,'BWA-SN'!F16,'RFA-SN'!F16)</f>
        <v>35976</v>
      </c>
      <c r="G16" s="48">
        <f>IF('BON-SN'!G16="","",SUM('BON-SN'!G16,'BSL-SN'!G16,'BWA-SN'!G16,'RFA-SN'!G16))</f>
      </c>
      <c r="H16" s="22">
        <f t="shared" si="2"/>
      </c>
      <c r="I16" s="69">
        <f t="shared" si="3"/>
      </c>
      <c r="J16" s="40">
        <f>SUM('BON-SN'!J16,'BSL-SN'!J16,'BWA-SN'!J16,'RFA-SN'!J16)</f>
        <v>28098</v>
      </c>
      <c r="K16" s="48">
        <f>IF('BON-SN'!K16="","",SUM('BON-SN'!K16,'BSL-SN'!K16,'BWA-SN'!K16,'RFA-SN'!K16))</f>
      </c>
      <c r="L16" s="22">
        <f t="shared" si="4"/>
      </c>
      <c r="M16" s="69">
        <f t="shared" si="5"/>
      </c>
      <c r="N16" s="40">
        <f t="shared" si="9"/>
        <v>94448</v>
      </c>
      <c r="O16" s="35">
        <f t="shared" si="6"/>
      </c>
      <c r="P16" s="22">
        <f t="shared" si="7"/>
      </c>
      <c r="Q16" s="69">
        <f t="shared" si="8"/>
      </c>
    </row>
    <row r="17" spans="1:17" ht="11.25" customHeight="1">
      <c r="A17" s="20" t="s">
        <v>12</v>
      </c>
      <c r="B17" s="38">
        <f>SUM('BON-SN'!B17,'BSL-SN'!B17,'BWA-SN'!B17,'RFA-SN'!B17)</f>
        <v>32757</v>
      </c>
      <c r="C17" s="47">
        <f>IF('BON-SN'!C17="","",SUM('BON-SN'!C17,'BSL-SN'!C17,'BWA-SN'!C17,'RFA-SN'!C17))</f>
      </c>
      <c r="D17" s="21">
        <f t="shared" si="0"/>
      </c>
      <c r="E17" s="68">
        <f t="shared" si="1"/>
      </c>
      <c r="F17" s="38">
        <f>SUM('BON-SN'!F17,'BSL-SN'!F17,'BWA-SN'!F17,'RFA-SN'!F17)</f>
        <v>37282</v>
      </c>
      <c r="G17" s="47">
        <f>IF('BON-SN'!G17="","",SUM('BON-SN'!G17,'BSL-SN'!G17,'BWA-SN'!G17,'RFA-SN'!G17))</f>
      </c>
      <c r="H17" s="21">
        <f t="shared" si="2"/>
      </c>
      <c r="I17" s="68">
        <f t="shared" si="3"/>
      </c>
      <c r="J17" s="38">
        <f>SUM('BON-SN'!J17,'BSL-SN'!J17,'BWA-SN'!J17,'RFA-SN'!J17)</f>
        <v>28277</v>
      </c>
      <c r="K17" s="47">
        <f>IF('BON-SN'!K17="","",SUM('BON-SN'!K17,'BSL-SN'!K17,'BWA-SN'!K17,'RFA-SN'!K17))</f>
      </c>
      <c r="L17" s="21">
        <f t="shared" si="4"/>
      </c>
      <c r="M17" s="68">
        <f t="shared" si="5"/>
      </c>
      <c r="N17" s="38">
        <f t="shared" si="9"/>
        <v>98316</v>
      </c>
      <c r="O17" s="34">
        <f t="shared" si="6"/>
      </c>
      <c r="P17" s="21">
        <f t="shared" si="7"/>
      </c>
      <c r="Q17" s="68">
        <f t="shared" si="8"/>
      </c>
    </row>
    <row r="18" spans="1:17" ht="11.25" customHeight="1">
      <c r="A18" s="20" t="s">
        <v>13</v>
      </c>
      <c r="B18" s="38">
        <f>SUM('BON-SN'!B18,'BSL-SN'!B18,'BWA-SN'!B18,'RFA-SN'!B18)</f>
        <v>29151</v>
      </c>
      <c r="C18" s="47">
        <f>IF('BON-SN'!C18="","",SUM('BON-SN'!C18,'BSL-SN'!C18,'BWA-SN'!C18,'RFA-SN'!C18))</f>
      </c>
      <c r="D18" s="21">
        <f t="shared" si="0"/>
      </c>
      <c r="E18" s="68">
        <f t="shared" si="1"/>
      </c>
      <c r="F18" s="38">
        <f>SUM('BON-SN'!F18,'BSL-SN'!F18,'BWA-SN'!F18,'RFA-SN'!F18)</f>
        <v>28128</v>
      </c>
      <c r="G18" s="47">
        <f>IF('BON-SN'!G18="","",SUM('BON-SN'!G18,'BSL-SN'!G18,'BWA-SN'!G18,'RFA-SN'!G18))</f>
      </c>
      <c r="H18" s="21">
        <f t="shared" si="2"/>
      </c>
      <c r="I18" s="68">
        <f t="shared" si="3"/>
      </c>
      <c r="J18" s="38">
        <f>SUM('BON-SN'!J18,'BSL-SN'!J18,'BWA-SN'!J18,'RFA-SN'!J18)</f>
        <v>28833</v>
      </c>
      <c r="K18" s="47">
        <f>IF('BON-SN'!K18="","",SUM('BON-SN'!K18,'BSL-SN'!K18,'BWA-SN'!K18,'RFA-SN'!K18))</f>
      </c>
      <c r="L18" s="21">
        <f t="shared" si="4"/>
      </c>
      <c r="M18" s="68">
        <f t="shared" si="5"/>
      </c>
      <c r="N18" s="38">
        <f t="shared" si="9"/>
        <v>86112</v>
      </c>
      <c r="O18" s="34">
        <f t="shared" si="6"/>
      </c>
      <c r="P18" s="21">
        <f t="shared" si="7"/>
      </c>
      <c r="Q18" s="68">
        <f t="shared" si="8"/>
      </c>
    </row>
    <row r="19" spans="1:17" ht="11.25" customHeight="1">
      <c r="A19" s="20" t="s">
        <v>14</v>
      </c>
      <c r="B19" s="40">
        <f>SUM('BON-SN'!B19,'BSL-SN'!B19,'BWA-SN'!B19,'RFA-SN'!B19)</f>
        <v>31621</v>
      </c>
      <c r="C19" s="48">
        <f>IF('BON-SN'!C19="","",SUM('BON-SN'!C19,'BSL-SN'!C19,'BWA-SN'!C19,'RFA-SN'!C19))</f>
      </c>
      <c r="D19" s="22">
        <f t="shared" si="0"/>
      </c>
      <c r="E19" s="69">
        <f t="shared" si="1"/>
      </c>
      <c r="F19" s="40">
        <f>SUM('BON-SN'!F19,'BSL-SN'!F19,'BWA-SN'!F19,'RFA-SN'!F19)</f>
        <v>38254</v>
      </c>
      <c r="G19" s="48">
        <f>IF('BON-SN'!G19="","",SUM('BON-SN'!G19,'BSL-SN'!G19,'BWA-SN'!G19,'RFA-SN'!G19))</f>
      </c>
      <c r="H19" s="22">
        <f t="shared" si="2"/>
      </c>
      <c r="I19" s="69">
        <f t="shared" si="3"/>
      </c>
      <c r="J19" s="40">
        <f>SUM('BON-SN'!J19,'BSL-SN'!J19,'BWA-SN'!J19,'RFA-SN'!J19)</f>
        <v>30978</v>
      </c>
      <c r="K19" s="48">
        <f>IF('BON-SN'!K19="","",SUM('BON-SN'!K19,'BSL-SN'!K19,'BWA-SN'!K19,'RFA-SN'!K19))</f>
      </c>
      <c r="L19" s="22">
        <f t="shared" si="4"/>
      </c>
      <c r="M19" s="69">
        <f t="shared" si="5"/>
      </c>
      <c r="N19" s="40">
        <f t="shared" si="9"/>
        <v>100853</v>
      </c>
      <c r="O19" s="35">
        <f t="shared" si="6"/>
      </c>
      <c r="P19" s="22">
        <f t="shared" si="7"/>
      </c>
      <c r="Q19" s="69">
        <f t="shared" si="8"/>
      </c>
    </row>
    <row r="20" spans="1:17" ht="11.25" customHeight="1">
      <c r="A20" s="20" t="s">
        <v>15</v>
      </c>
      <c r="B20" s="38">
        <f>SUM('BON-SN'!B20,'BSL-SN'!B20,'BWA-SN'!B20,'RFA-SN'!B20)</f>
        <v>29607</v>
      </c>
      <c r="C20" s="47">
        <f>IF('BON-SN'!C20="","",SUM('BON-SN'!C20,'BSL-SN'!C20,'BWA-SN'!C20,'RFA-SN'!C20))</f>
      </c>
      <c r="D20" s="21">
        <f t="shared" si="0"/>
      </c>
      <c r="E20" s="68">
        <f t="shared" si="1"/>
      </c>
      <c r="F20" s="38">
        <f>SUM('BON-SN'!F20,'BSL-SN'!F20,'BWA-SN'!F20,'RFA-SN'!F20)</f>
        <v>37794</v>
      </c>
      <c r="G20" s="47">
        <f>IF('BON-SN'!G20="","",SUM('BON-SN'!G20,'BSL-SN'!G20,'BWA-SN'!G20,'RFA-SN'!G20))</f>
      </c>
      <c r="H20" s="21">
        <f t="shared" si="2"/>
      </c>
      <c r="I20" s="68">
        <f t="shared" si="3"/>
      </c>
      <c r="J20" s="38">
        <f>SUM('BON-SN'!J20,'BSL-SN'!J20,'BWA-SN'!J20,'RFA-SN'!J20)</f>
        <v>29016</v>
      </c>
      <c r="K20" s="47">
        <f>IF('BON-SN'!K20="","",SUM('BON-SN'!K20,'BSL-SN'!K20,'BWA-SN'!K20,'RFA-SN'!K20))</f>
      </c>
      <c r="L20" s="21">
        <f t="shared" si="4"/>
      </c>
      <c r="M20" s="68">
        <f t="shared" si="5"/>
      </c>
      <c r="N20" s="38">
        <f t="shared" si="9"/>
        <v>96417</v>
      </c>
      <c r="O20" s="34">
        <f t="shared" si="6"/>
      </c>
      <c r="P20" s="21">
        <f t="shared" si="7"/>
      </c>
      <c r="Q20" s="68">
        <f t="shared" si="8"/>
      </c>
    </row>
    <row r="21" spans="1:17" ht="11.25" customHeight="1">
      <c r="A21" s="20" t="s">
        <v>16</v>
      </c>
      <c r="B21" s="38">
        <f>SUM('BON-SN'!B21,'BSL-SN'!B21,'BWA-SN'!B21,'RFA-SN'!B21)</f>
        <v>30147</v>
      </c>
      <c r="C21" s="47">
        <f>IF('BON-SN'!C21="","",SUM('BON-SN'!C21,'BSL-SN'!C21,'BWA-SN'!C21,'RFA-SN'!C21))</f>
      </c>
      <c r="D21" s="21">
        <f t="shared" si="0"/>
      </c>
      <c r="E21" s="68">
        <f t="shared" si="1"/>
      </c>
      <c r="F21" s="38">
        <f>SUM('BON-SN'!F21,'BSL-SN'!F21,'BWA-SN'!F21,'RFA-SN'!F21)</f>
        <v>36979</v>
      </c>
      <c r="G21" s="47">
        <f>IF('BON-SN'!G21="","",SUM('BON-SN'!G21,'BSL-SN'!G21,'BWA-SN'!G21,'RFA-SN'!G21))</f>
      </c>
      <c r="H21" s="21">
        <f t="shared" si="2"/>
      </c>
      <c r="I21" s="68">
        <f t="shared" si="3"/>
      </c>
      <c r="J21" s="38">
        <f>SUM('BON-SN'!J21,'BSL-SN'!J21,'BWA-SN'!J21,'RFA-SN'!J21)</f>
        <v>29141</v>
      </c>
      <c r="K21" s="47">
        <f>IF('BON-SN'!K21="","",SUM('BON-SN'!K21,'BSL-SN'!K21,'BWA-SN'!K21,'RFA-SN'!K21))</f>
      </c>
      <c r="L21" s="21">
        <f t="shared" si="4"/>
      </c>
      <c r="M21" s="68">
        <f t="shared" si="5"/>
      </c>
      <c r="N21" s="38">
        <f t="shared" si="9"/>
        <v>96267</v>
      </c>
      <c r="O21" s="34">
        <f t="shared" si="6"/>
      </c>
      <c r="P21" s="21">
        <f t="shared" si="7"/>
      </c>
      <c r="Q21" s="68">
        <f t="shared" si="8"/>
      </c>
    </row>
    <row r="22" spans="1:17" ht="11.25" customHeight="1" thickBot="1">
      <c r="A22" s="23" t="s">
        <v>17</v>
      </c>
      <c r="B22" s="39">
        <f>SUM('BON-SN'!B22,'BSL-SN'!B22,'BWA-SN'!B22,'RFA-SN'!B22)</f>
        <v>24948</v>
      </c>
      <c r="C22" s="49">
        <f>IF('BON-SN'!C22="","",SUM('BON-SN'!C22,'BSL-SN'!C22,'BWA-SN'!C22,'RFA-SN'!C22))</f>
      </c>
      <c r="D22" s="21">
        <f t="shared" si="0"/>
      </c>
      <c r="E22" s="54">
        <f t="shared" si="1"/>
      </c>
      <c r="F22" s="39">
        <f>SUM('BON-SN'!F22,'BSL-SN'!F22,'BWA-SN'!F22,'RFA-SN'!F22)</f>
        <v>29914</v>
      </c>
      <c r="G22" s="49">
        <f>IF('BON-SN'!G22="","",SUM('BON-SN'!G22,'BSL-SN'!G22,'BWA-SN'!G22,'RFA-SN'!G22))</f>
      </c>
      <c r="H22" s="21">
        <f t="shared" si="2"/>
      </c>
      <c r="I22" s="54">
        <f t="shared" si="3"/>
      </c>
      <c r="J22" s="39">
        <f>SUM('BON-SN'!J22,'BSL-SN'!J22,'BWA-SN'!J22,'RFA-SN'!J22)</f>
        <v>23751</v>
      </c>
      <c r="K22" s="49">
        <f>IF('BON-SN'!K22="","",SUM('BON-SN'!K22,'BSL-SN'!K22,'BWA-SN'!K22,'RFA-SN'!K22))</f>
      </c>
      <c r="L22" s="21">
        <f t="shared" si="4"/>
      </c>
      <c r="M22" s="54">
        <f t="shared" si="5"/>
      </c>
      <c r="N22" s="39">
        <f t="shared" si="9"/>
        <v>78613</v>
      </c>
      <c r="O22" s="36">
        <f t="shared" si="6"/>
      </c>
      <c r="P22" s="21">
        <f t="shared" si="7"/>
      </c>
      <c r="Q22" s="54">
        <f t="shared" si="8"/>
      </c>
    </row>
    <row r="23" spans="1:17" ht="11.25" customHeight="1" thickBot="1">
      <c r="A23" s="44" t="s">
        <v>3</v>
      </c>
      <c r="B23" s="41">
        <f>IF(C24&lt;7,B24,B25)</f>
        <v>92987</v>
      </c>
      <c r="C23" s="42">
        <f>IF(C11="","",SUM(C11:C22))</f>
        <v>89971</v>
      </c>
      <c r="D23" s="43">
        <f>IF(D11="","",SUM(D11:D22))</f>
        <v>-3016</v>
      </c>
      <c r="E23" s="61">
        <f t="shared" si="1"/>
        <v>-0.032434641401486226</v>
      </c>
      <c r="F23" s="41">
        <f>IF(G24&lt;7,F24,F25)</f>
        <v>116301</v>
      </c>
      <c r="G23" s="42">
        <f>IF(G11="","",SUM(G11:G22))</f>
        <v>109280</v>
      </c>
      <c r="H23" s="43">
        <f>IF(H11="","",SUM(H11:H22))</f>
        <v>-7021</v>
      </c>
      <c r="I23" s="61">
        <f t="shared" si="3"/>
        <v>-0.06036921436617054</v>
      </c>
      <c r="J23" s="41">
        <f>IF(K24&lt;7,J24,J25)</f>
        <v>82430</v>
      </c>
      <c r="K23" s="42">
        <f>IF(K11="","",SUM(K11:K22))</f>
        <v>80334</v>
      </c>
      <c r="L23" s="43">
        <f>IF(L11="","",SUM(L11:L22))</f>
        <v>-2096</v>
      </c>
      <c r="M23" s="61">
        <f t="shared" si="5"/>
        <v>-0.025427635569574183</v>
      </c>
      <c r="N23" s="41">
        <f>IF(O24&lt;7,N24,N25)</f>
        <v>291718</v>
      </c>
      <c r="O23" s="42">
        <f>IF(O11="","",SUM(O11:O22))</f>
        <v>279585</v>
      </c>
      <c r="P23" s="43">
        <f>IF(P11="","",SUM(P11:P22))</f>
        <v>-12133</v>
      </c>
      <c r="Q23" s="61">
        <f t="shared" si="8"/>
        <v>-0.04159153703233945</v>
      </c>
    </row>
    <row r="24" spans="1:17" ht="11.25" customHeight="1">
      <c r="A24" s="85" t="s">
        <v>28</v>
      </c>
      <c r="B24" s="90">
        <f>IF(C24=1,B11,IF(C24=2,SUM(B11:B12),IF(C24=3,SUM(B11:B13),IF(C24=4,SUM(B11:B14),IF(C24=5,SUM(B11:B15),IF(C24=6,SUM(B11:B16),""))))))</f>
        <v>92987</v>
      </c>
      <c r="C24" s="56">
        <f>COUNTIF(C11:C22,"&gt;0")</f>
        <v>3</v>
      </c>
      <c r="D24" s="56"/>
      <c r="E24" s="57"/>
      <c r="F24" s="90">
        <f>IF(G24=1,F11,IF(G24=2,SUM(F11:F12),IF(G24=3,SUM(F11:F13),IF(G24=4,SUM(F11:F14),IF(G24=5,SUM(F11:F15),IF(G24=6,SUM(F11:F16),""))))))</f>
        <v>116301</v>
      </c>
      <c r="G24" s="56">
        <f>COUNTIF(G11:G22,"&gt;0")</f>
        <v>3</v>
      </c>
      <c r="H24" s="56"/>
      <c r="I24" s="57"/>
      <c r="J24" s="90">
        <f>IF(K24=1,J11,IF(K24=2,SUM(J11:J12),IF(K24=3,SUM(J11:J13),IF(K24=4,SUM(J11:J14),IF(K24=5,SUM(J11:J15),IF(K24=6,SUM(J11:J16),""))))))</f>
        <v>82430</v>
      </c>
      <c r="K24" s="56">
        <f>COUNTIF(K11:K22,"&gt;0")</f>
        <v>3</v>
      </c>
      <c r="L24" s="56"/>
      <c r="M24" s="57"/>
      <c r="N24" s="90">
        <f>IF(O24=1,N11,IF(O24=2,SUM(N11:N12),IF(O24=3,SUM(N11:N13),IF(O24=4,SUM(N11:N14),IF(O24=5,SUM(N11:N15),IF(O24=6,SUM(N11:N16),""))))))</f>
        <v>291718</v>
      </c>
      <c r="O24" s="56">
        <f>COUNTIF(O11:O22,"&gt;0")</f>
        <v>3</v>
      </c>
      <c r="P24" s="24"/>
      <c r="Q24" s="25"/>
    </row>
    <row r="25" spans="2:14" ht="11.25" customHeight="1">
      <c r="B25" s="88">
        <f>IF(C24=7,SUM(B11:B17),IF(C24=8,SUM(B11:B18),IF(C24=9,SUM(B11:B19),IF(C24=10,SUM(B11:B20),IF(C24=11,SUM(B11:B21),SUM(B11:B22))))))</f>
        <v>364574</v>
      </c>
      <c r="F25" s="88">
        <f>IF(G24=7,SUM(F11:F17),IF(G24=8,SUM(F11:F18),IF(G24=9,SUM(F11:F19),IF(G24=10,SUM(F11:F20),IF(G24=11,SUM(F11:F21),SUM(F11:F22))))))</f>
        <v>438350</v>
      </c>
      <c r="J25" s="88">
        <f>IF(K24=7,SUM(J11:J17),IF(K24=8,SUM(J11:J18),IF(K24=9,SUM(J11:J19),IF(K24=10,SUM(J11:J20),IF(K24=11,SUM(J11:J21),SUM(J11:J22))))))</f>
        <v>340573</v>
      </c>
      <c r="N25" s="88">
        <f>IF(O24=7,SUM(N11:N17),IF(O24=8,SUM(N11:N18),IF(O24=9,SUM(N11:N19),IF(O24=10,SUM(N11:N20),IF(O24=11,SUM(N11:N21),SUM(N11:N22))))))</f>
        <v>1143497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64</v>
      </c>
      <c r="C30" s="12">
        <f>U43</f>
        <v>63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 aca="true" t="shared" si="10" ref="B31:B42">IF(C11="","",B11/$R31)</f>
        <v>1320.7142857142858</v>
      </c>
      <c r="C31" s="78">
        <f aca="true" t="shared" si="11" ref="C31:C42">IF(C11="","",C11/$S31)</f>
        <v>1341.095238095238</v>
      </c>
      <c r="D31" s="74">
        <f aca="true" t="shared" si="12" ref="D31:D42">IF(C31="","",C31-B31)</f>
        <v>20.380952380952294</v>
      </c>
      <c r="E31" s="70">
        <f aca="true" t="shared" si="13" ref="E31:E43">IF(C31="","",(C31-B31)/ABS(B31))</f>
        <v>0.015431764917973613</v>
      </c>
      <c r="F31" s="75">
        <f aca="true" t="shared" si="14" ref="F31:F42">IF(G11="","",F11/$R31)</f>
        <v>1676.6666666666667</v>
      </c>
      <c r="G31" s="78">
        <f aca="true" t="shared" si="15" ref="G31:G42">IF(G11="","",G11/$S31)</f>
        <v>1562.2857142857142</v>
      </c>
      <c r="H31" s="93">
        <f aca="true" t="shared" si="16" ref="H31:H42">IF(G31="","",G31-F31)</f>
        <v>-114.38095238095252</v>
      </c>
      <c r="I31" s="70">
        <f aca="true" t="shared" si="17" ref="I31:I43">IF(G31="","",(G31-F31)/ABS(F31))</f>
        <v>-0.06821925589321223</v>
      </c>
      <c r="J31" s="75">
        <f aca="true" t="shared" si="18" ref="J31:J42">IF(K11="","",J11/$R31)</f>
        <v>1119.047619047619</v>
      </c>
      <c r="K31" s="78">
        <f aca="true" t="shared" si="19" ref="K31:K42">IF(K11="","",K11/$S31)</f>
        <v>1142.2857142857142</v>
      </c>
      <c r="L31" s="93">
        <f aca="true" t="shared" si="20" ref="L31:L42">IF(K31="","",K31-J31)</f>
        <v>23.238095238095184</v>
      </c>
      <c r="M31" s="70">
        <f aca="true" t="shared" si="21" ref="M31:M43">IF(K31="","",(K31-J31)/ABS(J31))</f>
        <v>0.020765957446808463</v>
      </c>
      <c r="N31" s="75">
        <f aca="true" t="shared" si="22" ref="N31:N42">IF(O11="","",N11/$R31)</f>
        <v>4116.428571428572</v>
      </c>
      <c r="O31" s="78">
        <f aca="true" t="shared" si="23" ref="O31:O42">IF(O11="","",O11/$S31)</f>
        <v>4045.6666666666665</v>
      </c>
      <c r="P31" s="93">
        <f aca="true" t="shared" si="24" ref="P31:P42">IF(O31="","",O31-N31)</f>
        <v>-70.76190476190504</v>
      </c>
      <c r="Q31" s="68">
        <f aca="true" t="shared" si="25" ref="Q31:Q43">IF(O31="","",(O31-N31)/ABS(N31))</f>
        <v>-0.017190120886112624</v>
      </c>
      <c r="R31" s="64">
        <f>'BON-NS'!R31</f>
        <v>21</v>
      </c>
      <c r="S31" s="65">
        <v>21</v>
      </c>
      <c r="T31" s="89">
        <f>IF(OR(N31="",N31=0),"",R31)</f>
        <v>21</v>
      </c>
      <c r="U31" s="89">
        <f>IF(OR(O31="",O31=0),"",S31)</f>
        <v>21</v>
      </c>
    </row>
    <row r="32" spans="1:21" ht="11.25" customHeight="1">
      <c r="A32" s="20" t="s">
        <v>7</v>
      </c>
      <c r="B32" s="75">
        <f t="shared" si="10"/>
        <v>1493.7</v>
      </c>
      <c r="C32" s="78">
        <f t="shared" si="11"/>
        <v>1452.15</v>
      </c>
      <c r="D32" s="74">
        <f t="shared" si="12"/>
        <v>-41.549999999999955</v>
      </c>
      <c r="E32" s="70">
        <f t="shared" si="13"/>
        <v>-0.02781683068889332</v>
      </c>
      <c r="F32" s="75">
        <f t="shared" si="14"/>
        <v>1889.8</v>
      </c>
      <c r="G32" s="78">
        <f t="shared" si="15"/>
        <v>1810.35</v>
      </c>
      <c r="H32" s="93">
        <f t="shared" si="16"/>
        <v>-79.45000000000005</v>
      </c>
      <c r="I32" s="70">
        <f t="shared" si="17"/>
        <v>-0.042041485871520824</v>
      </c>
      <c r="J32" s="75">
        <f t="shared" si="18"/>
        <v>1315.15</v>
      </c>
      <c r="K32" s="78">
        <f t="shared" si="19"/>
        <v>1257.05</v>
      </c>
      <c r="L32" s="93">
        <f t="shared" si="20"/>
        <v>-58.100000000000136</v>
      </c>
      <c r="M32" s="70">
        <f t="shared" si="21"/>
        <v>-0.04417747025054186</v>
      </c>
      <c r="N32" s="75">
        <f t="shared" si="22"/>
        <v>4698.65</v>
      </c>
      <c r="O32" s="78">
        <f t="shared" si="23"/>
        <v>4519.55</v>
      </c>
      <c r="P32" s="93">
        <f t="shared" si="24"/>
        <v>-179.09999999999945</v>
      </c>
      <c r="Q32" s="68">
        <f t="shared" si="25"/>
        <v>-0.03811733157396262</v>
      </c>
      <c r="R32" s="64">
        <f>'BON-NS'!R32</f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20" t="s">
        <v>8</v>
      </c>
      <c r="B33" s="76">
        <f t="shared" si="10"/>
        <v>1538.1739130434783</v>
      </c>
      <c r="C33" s="79">
        <f t="shared" si="11"/>
        <v>1489.3181818181818</v>
      </c>
      <c r="D33" s="81">
        <f t="shared" si="12"/>
        <v>-48.855731225296495</v>
      </c>
      <c r="E33" s="71">
        <f t="shared" si="13"/>
        <v>-0.03176216344004238</v>
      </c>
      <c r="F33" s="76">
        <f t="shared" si="14"/>
        <v>1882.391304347826</v>
      </c>
      <c r="G33" s="79">
        <f t="shared" si="15"/>
        <v>1830.2272727272727</v>
      </c>
      <c r="H33" s="94">
        <f t="shared" si="16"/>
        <v>-52.16403162055326</v>
      </c>
      <c r="I33" s="71">
        <f t="shared" si="17"/>
        <v>-0.02771157702443065</v>
      </c>
      <c r="J33" s="76">
        <f t="shared" si="18"/>
        <v>1418.5652173913043</v>
      </c>
      <c r="K33" s="79">
        <f t="shared" si="19"/>
        <v>1418.409090909091</v>
      </c>
      <c r="L33" s="94">
        <f t="shared" si="20"/>
        <v>-0.15612648221326708</v>
      </c>
      <c r="M33" s="71">
        <f t="shared" si="21"/>
        <v>-0.0001100594320932094</v>
      </c>
      <c r="N33" s="76">
        <f t="shared" si="22"/>
        <v>4839.130434782609</v>
      </c>
      <c r="O33" s="79">
        <f t="shared" si="23"/>
        <v>4737.954545454545</v>
      </c>
      <c r="P33" s="94">
        <f t="shared" si="24"/>
        <v>-101.17588932806393</v>
      </c>
      <c r="Q33" s="69">
        <f t="shared" si="25"/>
        <v>-0.020907865719186614</v>
      </c>
      <c r="R33" s="66">
        <f>'BON-NS'!R33</f>
        <v>23</v>
      </c>
      <c r="S33" s="98">
        <v>22</v>
      </c>
      <c r="T33" s="89">
        <f t="shared" si="26"/>
        <v>23</v>
      </c>
      <c r="U33" s="89">
        <f t="shared" si="26"/>
        <v>22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2"/>
      </c>
      <c r="E34" s="70">
        <f t="shared" si="13"/>
      </c>
      <c r="F34" s="75">
        <f t="shared" si="14"/>
      </c>
      <c r="G34" s="78">
        <f t="shared" si="15"/>
      </c>
      <c r="H34" s="93">
        <f t="shared" si="16"/>
      </c>
      <c r="I34" s="70">
        <f t="shared" si="17"/>
      </c>
      <c r="J34" s="75">
        <f t="shared" si="18"/>
      </c>
      <c r="K34" s="78">
        <f t="shared" si="19"/>
      </c>
      <c r="L34" s="93">
        <f t="shared" si="20"/>
      </c>
      <c r="M34" s="70">
        <f t="shared" si="21"/>
      </c>
      <c r="N34" s="75">
        <f t="shared" si="22"/>
      </c>
      <c r="O34" s="78">
        <f t="shared" si="23"/>
      </c>
      <c r="P34" s="93">
        <f t="shared" si="24"/>
      </c>
      <c r="Q34" s="68">
        <f t="shared" si="25"/>
      </c>
      <c r="R34" s="64">
        <f>'BON-NS'!R34</f>
        <v>19</v>
      </c>
      <c r="S34" s="65">
        <v>20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2"/>
      </c>
      <c r="E35" s="70">
        <f t="shared" si="13"/>
      </c>
      <c r="F35" s="75">
        <f t="shared" si="14"/>
      </c>
      <c r="G35" s="78">
        <f t="shared" si="15"/>
      </c>
      <c r="H35" s="93">
        <f t="shared" si="16"/>
      </c>
      <c r="I35" s="70">
        <f t="shared" si="17"/>
      </c>
      <c r="J35" s="75">
        <f t="shared" si="18"/>
      </c>
      <c r="K35" s="78">
        <f t="shared" si="19"/>
      </c>
      <c r="L35" s="93">
        <f t="shared" si="20"/>
      </c>
      <c r="M35" s="70">
        <f t="shared" si="21"/>
      </c>
      <c r="N35" s="75">
        <f t="shared" si="22"/>
      </c>
      <c r="O35" s="78">
        <f t="shared" si="23"/>
      </c>
      <c r="P35" s="93">
        <f t="shared" si="24"/>
      </c>
      <c r="Q35" s="68">
        <f t="shared" si="25"/>
      </c>
      <c r="R35" s="64">
        <f>'BON-NS'!R35</f>
        <v>22</v>
      </c>
      <c r="S35" s="65">
        <v>19</v>
      </c>
      <c r="T35" s="89">
        <f t="shared" si="26"/>
      </c>
      <c r="U35" s="89">
        <f t="shared" si="26"/>
      </c>
    </row>
    <row r="36" spans="1:21" ht="11.25" customHeight="1">
      <c r="A36" s="20" t="s">
        <v>11</v>
      </c>
      <c r="B36" s="76">
        <f t="shared" si="10"/>
      </c>
      <c r="C36" s="79">
        <f t="shared" si="11"/>
      </c>
      <c r="D36" s="81">
        <f t="shared" si="12"/>
      </c>
      <c r="E36" s="71">
        <f t="shared" si="13"/>
      </c>
      <c r="F36" s="76">
        <f t="shared" si="14"/>
      </c>
      <c r="G36" s="79">
        <f t="shared" si="15"/>
      </c>
      <c r="H36" s="94">
        <f t="shared" si="16"/>
      </c>
      <c r="I36" s="71">
        <f t="shared" si="17"/>
      </c>
      <c r="J36" s="76">
        <f t="shared" si="18"/>
      </c>
      <c r="K36" s="79">
        <f t="shared" si="19"/>
      </c>
      <c r="L36" s="94">
        <f t="shared" si="20"/>
      </c>
      <c r="M36" s="71">
        <f t="shared" si="21"/>
      </c>
      <c r="N36" s="76">
        <f t="shared" si="22"/>
      </c>
      <c r="O36" s="79">
        <f t="shared" si="23"/>
      </c>
      <c r="P36" s="94">
        <f t="shared" si="24"/>
      </c>
      <c r="Q36" s="69">
        <f t="shared" si="25"/>
      </c>
      <c r="R36" s="66">
        <f>'BON-NS'!R36</f>
        <v>20</v>
      </c>
      <c r="S36" s="98">
        <v>21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2"/>
      </c>
      <c r="E37" s="70">
        <f t="shared" si="13"/>
      </c>
      <c r="F37" s="75">
        <f t="shared" si="14"/>
      </c>
      <c r="G37" s="78">
        <f t="shared" si="15"/>
      </c>
      <c r="H37" s="93">
        <f t="shared" si="16"/>
      </c>
      <c r="I37" s="70">
        <f t="shared" si="17"/>
      </c>
      <c r="J37" s="75">
        <f t="shared" si="18"/>
      </c>
      <c r="K37" s="78">
        <f t="shared" si="19"/>
      </c>
      <c r="L37" s="93">
        <f t="shared" si="20"/>
      </c>
      <c r="M37" s="70">
        <f t="shared" si="21"/>
      </c>
      <c r="N37" s="75">
        <f t="shared" si="22"/>
      </c>
      <c r="O37" s="78">
        <f t="shared" si="23"/>
      </c>
      <c r="P37" s="93">
        <f t="shared" si="24"/>
      </c>
      <c r="Q37" s="68">
        <f t="shared" si="25"/>
      </c>
      <c r="R37" s="64">
        <f>'BON-NS'!R37</f>
        <v>21</v>
      </c>
      <c r="S37" s="65">
        <v>23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2"/>
      </c>
      <c r="E38" s="70">
        <f t="shared" si="13"/>
      </c>
      <c r="F38" s="75">
        <f t="shared" si="14"/>
      </c>
      <c r="G38" s="78">
        <f t="shared" si="15"/>
      </c>
      <c r="H38" s="93">
        <f t="shared" si="16"/>
      </c>
      <c r="I38" s="70">
        <f t="shared" si="17"/>
      </c>
      <c r="J38" s="75">
        <f t="shared" si="18"/>
      </c>
      <c r="K38" s="78">
        <f t="shared" si="19"/>
      </c>
      <c r="L38" s="93">
        <f t="shared" si="20"/>
      </c>
      <c r="M38" s="70">
        <f t="shared" si="21"/>
      </c>
      <c r="N38" s="75">
        <f t="shared" si="22"/>
      </c>
      <c r="O38" s="78">
        <f t="shared" si="23"/>
      </c>
      <c r="P38" s="93">
        <f t="shared" si="24"/>
      </c>
      <c r="Q38" s="68">
        <f t="shared" si="25"/>
      </c>
      <c r="R38" s="64">
        <f>'BON-NS'!R38</f>
        <v>22</v>
      </c>
      <c r="S38" s="65">
        <v>21</v>
      </c>
      <c r="T38" s="89">
        <f t="shared" si="26"/>
      </c>
      <c r="U38" s="89">
        <f t="shared" si="26"/>
      </c>
    </row>
    <row r="39" spans="1:21" ht="11.25" customHeight="1">
      <c r="A39" s="20" t="s">
        <v>14</v>
      </c>
      <c r="B39" s="76">
        <f t="shared" si="10"/>
      </c>
      <c r="C39" s="79">
        <f t="shared" si="11"/>
      </c>
      <c r="D39" s="81">
        <f t="shared" si="12"/>
      </c>
      <c r="E39" s="71">
        <f t="shared" si="13"/>
      </c>
      <c r="F39" s="76">
        <f t="shared" si="14"/>
      </c>
      <c r="G39" s="79">
        <f t="shared" si="15"/>
      </c>
      <c r="H39" s="94">
        <f t="shared" si="16"/>
      </c>
      <c r="I39" s="71">
        <f t="shared" si="17"/>
      </c>
      <c r="J39" s="76">
        <f t="shared" si="18"/>
      </c>
      <c r="K39" s="79">
        <f t="shared" si="19"/>
      </c>
      <c r="L39" s="94">
        <f t="shared" si="20"/>
      </c>
      <c r="M39" s="71">
        <f t="shared" si="21"/>
      </c>
      <c r="N39" s="76">
        <f t="shared" si="22"/>
      </c>
      <c r="O39" s="79">
        <f t="shared" si="23"/>
      </c>
      <c r="P39" s="94">
        <f t="shared" si="24"/>
      </c>
      <c r="Q39" s="69">
        <f t="shared" si="25"/>
      </c>
      <c r="R39" s="66">
        <f>'BON-NS'!R39</f>
        <v>22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2"/>
      </c>
      <c r="E40" s="70">
        <f t="shared" si="13"/>
      </c>
      <c r="F40" s="75">
        <f t="shared" si="14"/>
      </c>
      <c r="G40" s="78">
        <f t="shared" si="15"/>
      </c>
      <c r="H40" s="93">
        <f t="shared" si="16"/>
      </c>
      <c r="I40" s="70">
        <f t="shared" si="17"/>
      </c>
      <c r="J40" s="75">
        <f t="shared" si="18"/>
      </c>
      <c r="K40" s="78">
        <f t="shared" si="19"/>
      </c>
      <c r="L40" s="93">
        <f t="shared" si="20"/>
      </c>
      <c r="M40" s="70">
        <f t="shared" si="21"/>
      </c>
      <c r="N40" s="75">
        <f t="shared" si="22"/>
      </c>
      <c r="O40" s="78">
        <f t="shared" si="23"/>
      </c>
      <c r="P40" s="93">
        <f t="shared" si="24"/>
      </c>
      <c r="Q40" s="68">
        <f t="shared" si="25"/>
      </c>
      <c r="R40" s="64">
        <f>'BON-NS'!R40</f>
        <v>21</v>
      </c>
      <c r="S40" s="65">
        <v>22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2"/>
      </c>
      <c r="E41" s="70">
        <f t="shared" si="13"/>
      </c>
      <c r="F41" s="75">
        <f t="shared" si="14"/>
      </c>
      <c r="G41" s="78">
        <f t="shared" si="15"/>
      </c>
      <c r="H41" s="93">
        <f t="shared" si="16"/>
      </c>
      <c r="I41" s="70">
        <f t="shared" si="17"/>
      </c>
      <c r="J41" s="75">
        <f t="shared" si="18"/>
      </c>
      <c r="K41" s="78">
        <f t="shared" si="19"/>
      </c>
      <c r="L41" s="93">
        <f t="shared" si="20"/>
      </c>
      <c r="M41" s="70">
        <f t="shared" si="21"/>
      </c>
      <c r="N41" s="75">
        <f t="shared" si="22"/>
      </c>
      <c r="O41" s="78">
        <f t="shared" si="23"/>
      </c>
      <c r="P41" s="93">
        <f t="shared" si="24"/>
      </c>
      <c r="Q41" s="68">
        <f t="shared" si="25"/>
      </c>
      <c r="R41" s="64">
        <f>'BON-NS'!R41</f>
        <v>22</v>
      </c>
      <c r="S41" s="65">
        <v>21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2"/>
      </c>
      <c r="E42" s="70">
        <f t="shared" si="13"/>
      </c>
      <c r="F42" s="75">
        <f t="shared" si="14"/>
      </c>
      <c r="G42" s="78">
        <f t="shared" si="15"/>
      </c>
      <c r="H42" s="93">
        <f t="shared" si="16"/>
      </c>
      <c r="I42" s="70">
        <f t="shared" si="17"/>
      </c>
      <c r="J42" s="75">
        <f t="shared" si="18"/>
      </c>
      <c r="K42" s="78">
        <f t="shared" si="19"/>
      </c>
      <c r="L42" s="93">
        <f t="shared" si="20"/>
      </c>
      <c r="M42" s="70">
        <f t="shared" si="21"/>
      </c>
      <c r="N42" s="75">
        <f t="shared" si="22"/>
      </c>
      <c r="O42" s="78">
        <f t="shared" si="23"/>
      </c>
      <c r="P42" s="93">
        <f t="shared" si="24"/>
      </c>
      <c r="Q42" s="68">
        <f t="shared" si="25"/>
      </c>
      <c r="R42" s="64">
        <f>'BON-NS'!R42</f>
        <v>21</v>
      </c>
      <c r="S42" s="65">
        <v>22</v>
      </c>
      <c r="T42" s="89">
        <f t="shared" si="26"/>
      </c>
      <c r="U42" s="89">
        <f t="shared" si="26"/>
      </c>
    </row>
    <row r="43" spans="1:21" ht="11.25" customHeight="1" thickBot="1">
      <c r="A43" s="87" t="s">
        <v>29</v>
      </c>
      <c r="B43" s="77">
        <f>AVERAGE(B31:B42)</f>
        <v>1450.8627329192548</v>
      </c>
      <c r="C43" s="80">
        <f>IF(C11="","",AVERAGE(C31:C42))</f>
        <v>1427.52113997114</v>
      </c>
      <c r="D43" s="72">
        <f>IF(D31="","",AVERAGE(D31:D42))</f>
        <v>-23.34159294811472</v>
      </c>
      <c r="E43" s="62">
        <f t="shared" si="13"/>
        <v>-0.016088078092094622</v>
      </c>
      <c r="F43" s="77">
        <f>AVERAGE(F31:F42)</f>
        <v>1816.2859903381643</v>
      </c>
      <c r="G43" s="80">
        <f>IF(G11="","",AVERAGE(G31:G42))</f>
        <v>1734.2876623376624</v>
      </c>
      <c r="H43" s="95">
        <f>IF(H31="","",AVERAGE(H31:H42))</f>
        <v>-81.99832800050194</v>
      </c>
      <c r="I43" s="62">
        <f t="shared" si="17"/>
        <v>-0.045146154535517354</v>
      </c>
      <c r="J43" s="77">
        <f>AVERAGE(J31:J42)</f>
        <v>1284.2542788129742</v>
      </c>
      <c r="K43" s="80">
        <f>IF(K11="","",AVERAGE(K31:K42))</f>
        <v>1272.5816017316017</v>
      </c>
      <c r="L43" s="95">
        <f>IF(L31="","",AVERAGE(L31:L42))</f>
        <v>-11.67267708137274</v>
      </c>
      <c r="M43" s="62">
        <f t="shared" si="21"/>
        <v>-0.009089070033826535</v>
      </c>
      <c r="N43" s="77">
        <f>AVERAGE(N31:N42)</f>
        <v>4551.403002070393</v>
      </c>
      <c r="O43" s="80">
        <f>IF(O11="","",AVERAGE(O31:O42))</f>
        <v>4434.390404040404</v>
      </c>
      <c r="P43" s="95">
        <f>IF(P31="","",AVERAGE(P31:P42))</f>
        <v>-117.01259802998948</v>
      </c>
      <c r="Q43" s="63">
        <f t="shared" si="25"/>
        <v>-0.025709127048683895</v>
      </c>
      <c r="R43" s="67">
        <f>SUM(R31:R42)</f>
        <v>254</v>
      </c>
      <c r="S43" s="99">
        <f>SUM(S31:S42)</f>
        <v>254</v>
      </c>
      <c r="T43" s="89">
        <f>SUM(T31:T42)</f>
        <v>64</v>
      </c>
      <c r="U43" s="88">
        <f>SUM(U31:U42)</f>
        <v>63</v>
      </c>
    </row>
    <row r="44" spans="1:17" s="30" customFormat="1" ht="11.25" customHeight="1">
      <c r="A44" s="86" t="s">
        <v>28</v>
      </c>
      <c r="B44" s="37"/>
      <c r="C44" s="58">
        <f>COUNTIF(C31:C42,"&gt;0")</f>
        <v>3</v>
      </c>
      <c r="D44" s="59"/>
      <c r="E44" s="60"/>
      <c r="F44" s="58"/>
      <c r="G44" s="58">
        <f>COUNTIF(G31:G42,"&gt;0")</f>
        <v>3</v>
      </c>
      <c r="H44" s="59"/>
      <c r="I44" s="60"/>
      <c r="J44" s="58"/>
      <c r="K44" s="58">
        <f>COUNTIF(K31:K42,"&gt;0")</f>
        <v>3</v>
      </c>
      <c r="L44" s="59"/>
      <c r="M44" s="60"/>
      <c r="N44" s="58"/>
      <c r="O44" s="58">
        <f>COUNTIF(O31:O42,"&gt;0")</f>
        <v>3</v>
      </c>
      <c r="P44" s="28"/>
      <c r="Q44" s="55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B26:E27"/>
    <mergeCell ref="B28:E28"/>
    <mergeCell ref="R30:S30"/>
    <mergeCell ref="B8:E8"/>
    <mergeCell ref="D29:E29"/>
    <mergeCell ref="H29:I29"/>
    <mergeCell ref="L29:M29"/>
    <mergeCell ref="P29:Q29"/>
    <mergeCell ref="D9:E9"/>
    <mergeCell ref="H9:I9"/>
    <mergeCell ref="F28:I28"/>
    <mergeCell ref="J28:M28"/>
    <mergeCell ref="N28:Q28"/>
    <mergeCell ref="P9:Q9"/>
    <mergeCell ref="L9:M9"/>
    <mergeCell ref="F8:I8"/>
    <mergeCell ref="B2:E2"/>
    <mergeCell ref="D3:E3"/>
    <mergeCell ref="B6:E7"/>
    <mergeCell ref="B3:C3"/>
    <mergeCell ref="J8:M8"/>
    <mergeCell ref="N8:Q8"/>
  </mergeCells>
  <conditionalFormatting sqref="S31:S43">
    <cfRule type="expression" priority="1" dxfId="3" stopIfTrue="1">
      <formula>S31&lt;$R31</formula>
    </cfRule>
    <cfRule type="expression" priority="2" dxfId="2" stopIfTrue="1">
      <formula>S31&gt;$R31</formula>
    </cfRule>
  </conditionalFormatting>
  <conditionalFormatting sqref="B14:B21 F12:F22 J12:J22 N12:N22">
    <cfRule type="expression" priority="3" dxfId="0" stopIfTrue="1">
      <formula>C12=""</formula>
    </cfRule>
  </conditionalFormatting>
  <conditionalFormatting sqref="B22 B12:B13">
    <cfRule type="expression" priority="4" dxfId="0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U61"/>
  <sheetViews>
    <sheetView showGridLines="0" zoomScale="130" zoomScaleNormal="130" zoomScalePageLayoutView="0" workbookViewId="0" topLeftCell="A1">
      <selection activeCell="G1" sqref="G1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bestFit="1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8.5" customHeight="1"/>
    <row r="2" spans="1:17" ht="16.5" customHeight="1">
      <c r="A2" s="97" t="s">
        <v>27</v>
      </c>
      <c r="B2" s="127" t="s">
        <v>54</v>
      </c>
      <c r="C2" s="127"/>
      <c r="D2" s="127"/>
      <c r="E2" s="127"/>
      <c r="Q2" s="92"/>
    </row>
    <row r="3" spans="1:21" ht="13.5" customHeight="1">
      <c r="A3" s="1"/>
      <c r="B3" s="128" t="s">
        <v>20</v>
      </c>
      <c r="C3" s="128"/>
      <c r="D3" s="129" t="s">
        <v>19</v>
      </c>
      <c r="E3" s="129"/>
      <c r="Q3" s="91"/>
      <c r="U3" s="24"/>
    </row>
    <row r="4" spans="1:21" ht="11.25" customHeight="1">
      <c r="A4" s="3"/>
      <c r="B4" s="4"/>
      <c r="C4" s="4"/>
      <c r="D4" s="138" t="s">
        <v>25</v>
      </c>
      <c r="E4" s="13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  <c r="U4" s="24"/>
    </row>
    <row r="5" spans="1:21" ht="9.75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2"/>
      <c r="U5" s="24"/>
    </row>
    <row r="6" ht="4.5" customHeight="1"/>
    <row r="7" spans="1:6" ht="11.25" customHeight="1">
      <c r="A7" s="7"/>
      <c r="B7" s="132" t="s">
        <v>30</v>
      </c>
      <c r="C7" s="133"/>
      <c r="D7" s="133"/>
      <c r="E7" s="133"/>
      <c r="F7" s="9" t="s">
        <v>32</v>
      </c>
    </row>
    <row r="8" spans="2:6" ht="11.25" customHeight="1" thickBot="1">
      <c r="B8" s="134"/>
      <c r="C8" s="134"/>
      <c r="D8" s="134"/>
      <c r="E8" s="134"/>
      <c r="F8" s="2" t="s">
        <v>33</v>
      </c>
    </row>
    <row r="9" spans="1:17" s="9" customFormat="1" ht="11.25" customHeight="1" thickBot="1">
      <c r="A9" s="8" t="s">
        <v>4</v>
      </c>
      <c r="B9" s="113" t="s">
        <v>0</v>
      </c>
      <c r="C9" s="114"/>
      <c r="D9" s="114"/>
      <c r="E9" s="115"/>
      <c r="F9" s="119" t="s">
        <v>1</v>
      </c>
      <c r="G9" s="120"/>
      <c r="H9" s="120"/>
      <c r="I9" s="121"/>
      <c r="J9" s="122" t="s">
        <v>2</v>
      </c>
      <c r="K9" s="123"/>
      <c r="L9" s="123"/>
      <c r="M9" s="123"/>
      <c r="N9" s="124" t="s">
        <v>3</v>
      </c>
      <c r="O9" s="125"/>
      <c r="P9" s="125"/>
      <c r="Q9" s="126"/>
    </row>
    <row r="10" spans="1:17" s="9" customFormat="1" ht="11.25" customHeight="1">
      <c r="A10" s="10"/>
      <c r="B10" s="50">
        <f>'BON-NS'!B9</f>
        <v>2011</v>
      </c>
      <c r="C10" s="51">
        <f>'BON-NS'!C9</f>
        <v>2012</v>
      </c>
      <c r="D10" s="116" t="s">
        <v>5</v>
      </c>
      <c r="E10" s="118"/>
      <c r="F10" s="50">
        <f>$B$10</f>
        <v>2011</v>
      </c>
      <c r="G10" s="51">
        <f>$C$10</f>
        <v>2012</v>
      </c>
      <c r="H10" s="116" t="s">
        <v>5</v>
      </c>
      <c r="I10" s="118"/>
      <c r="J10" s="50">
        <f>$B$10</f>
        <v>2011</v>
      </c>
      <c r="K10" s="51">
        <f>$C$10</f>
        <v>2012</v>
      </c>
      <c r="L10" s="116" t="s">
        <v>5</v>
      </c>
      <c r="M10" s="117"/>
      <c r="N10" s="50">
        <f>$B$10</f>
        <v>2011</v>
      </c>
      <c r="O10" s="51">
        <f>$C$10</f>
        <v>2012</v>
      </c>
      <c r="P10" s="116" t="s">
        <v>5</v>
      </c>
      <c r="Q10" s="118"/>
    </row>
    <row r="11" spans="1:17" s="9" customFormat="1" ht="11.25" customHeight="1">
      <c r="A11" s="84" t="s">
        <v>24</v>
      </c>
      <c r="B11" s="11">
        <f>$R$44</f>
        <v>254</v>
      </c>
      <c r="C11" s="12">
        <f>$S$44</f>
        <v>254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17" ht="11.25" customHeight="1">
      <c r="A12" s="20" t="s">
        <v>6</v>
      </c>
      <c r="B12" s="38">
        <f>SUM('TTL-NS'!B11,'TTL-SN'!B11)</f>
        <v>65271</v>
      </c>
      <c r="C12" s="47">
        <f>IF('TTL-NS'!C11="","",SUM('TTL-NS'!C11,'TTL-SN'!C11))</f>
        <v>65197</v>
      </c>
      <c r="D12" s="21">
        <f aca="true" t="shared" si="0" ref="D12:D23">IF(C12="","",C12-B12)</f>
        <v>-74</v>
      </c>
      <c r="E12" s="68">
        <f aca="true" t="shared" si="1" ref="E12:E24">IF(D12="","",D12/B12)</f>
        <v>-0.0011337347367130885</v>
      </c>
      <c r="F12" s="38">
        <f>SUM('TTL-NS'!F11,'TTL-SN'!F11)</f>
        <v>74043</v>
      </c>
      <c r="G12" s="47">
        <f>IF('TTL-NS'!G11="","",SUM('TTL-NS'!G11,'TTL-SN'!G11))</f>
        <v>69381</v>
      </c>
      <c r="H12" s="21">
        <f aca="true" t="shared" si="2" ref="H12:H23">IF(G12="","",G12-F12)</f>
        <v>-4662</v>
      </c>
      <c r="I12" s="68">
        <f aca="true" t="shared" si="3" ref="I12:I24">IF(H12="","",H12/F12)</f>
        <v>-0.0629634131518172</v>
      </c>
      <c r="J12" s="38">
        <f>SUM('TTL-NS'!J11,'TTL-SN'!J11)</f>
        <v>29350</v>
      </c>
      <c r="K12" s="47">
        <f>IF('TTL-NS'!K11="","",SUM('TTL-NS'!K11,'TTL-SN'!K11))</f>
        <v>30051</v>
      </c>
      <c r="L12" s="21">
        <f aca="true" t="shared" si="4" ref="L12:L23">IF(K12="","",K12-J12)</f>
        <v>701</v>
      </c>
      <c r="M12" s="68">
        <f aca="true" t="shared" si="5" ref="M12:M24">IF(L12="","",L12/J12)</f>
        <v>0.023884156729131176</v>
      </c>
      <c r="N12" s="38">
        <f>SUM(B12,F12,J12)</f>
        <v>168664</v>
      </c>
      <c r="O12" s="34">
        <f aca="true" t="shared" si="6" ref="O12:O23">IF(C12="","",SUM(C12,G12,K12))</f>
        <v>164629</v>
      </c>
      <c r="P12" s="21">
        <f aca="true" t="shared" si="7" ref="P12:P23">IF(O12="","",O12-N12)</f>
        <v>-4035</v>
      </c>
      <c r="Q12" s="68">
        <f aca="true" t="shared" si="8" ref="Q12:Q24">IF(P12="","",P12/N12)</f>
        <v>-0.023923303135227433</v>
      </c>
    </row>
    <row r="13" spans="1:17" ht="11.25" customHeight="1">
      <c r="A13" s="20" t="s">
        <v>7</v>
      </c>
      <c r="B13" s="38">
        <f>SUM('TTL-NS'!B12,'TTL-SN'!B12)</f>
        <v>70484</v>
      </c>
      <c r="C13" s="47">
        <f>IF('TTL-NS'!C12="","",SUM('TTL-NS'!C12,'TTL-SN'!C12))</f>
        <v>67297</v>
      </c>
      <c r="D13" s="21">
        <f t="shared" si="0"/>
        <v>-3187</v>
      </c>
      <c r="E13" s="68">
        <f t="shared" si="1"/>
        <v>-0.04521593553146813</v>
      </c>
      <c r="F13" s="38">
        <f>SUM('TTL-NS'!F12,'TTL-SN'!F12)</f>
        <v>78478</v>
      </c>
      <c r="G13" s="47">
        <f>IF('TTL-NS'!G12="","",SUM('TTL-NS'!G12,'TTL-SN'!G12))</f>
        <v>76403</v>
      </c>
      <c r="H13" s="21">
        <f t="shared" si="2"/>
        <v>-2075</v>
      </c>
      <c r="I13" s="68">
        <f t="shared" si="3"/>
        <v>-0.026440531104258518</v>
      </c>
      <c r="J13" s="38">
        <f>SUM('TTL-NS'!J12,'TTL-SN'!J12)</f>
        <v>32666</v>
      </c>
      <c r="K13" s="47">
        <f>IF('TTL-NS'!K12="","",SUM('TTL-NS'!K12,'TTL-SN'!K12))</f>
        <v>30975</v>
      </c>
      <c r="L13" s="21">
        <f t="shared" si="4"/>
        <v>-1691</v>
      </c>
      <c r="M13" s="68">
        <f t="shared" si="5"/>
        <v>-0.05176636257882814</v>
      </c>
      <c r="N13" s="38">
        <f aca="true" t="shared" si="9" ref="N13:N23">SUM(B13,F13,J13)</f>
        <v>181628</v>
      </c>
      <c r="O13" s="34">
        <f t="shared" si="6"/>
        <v>174675</v>
      </c>
      <c r="P13" s="21">
        <f t="shared" si="7"/>
        <v>-6953</v>
      </c>
      <c r="Q13" s="68">
        <f t="shared" si="8"/>
        <v>-0.038281542493448145</v>
      </c>
    </row>
    <row r="14" spans="1:17" ht="11.25" customHeight="1">
      <c r="A14" s="20" t="s">
        <v>8</v>
      </c>
      <c r="B14" s="40">
        <f>SUM('TTL-NS'!B13,'TTL-SN'!B13)</f>
        <v>84436</v>
      </c>
      <c r="C14" s="48">
        <f>IF('TTL-NS'!C13="","",SUM('TTL-NS'!C13,'TTL-SN'!C13))</f>
        <v>77281</v>
      </c>
      <c r="D14" s="22">
        <f t="shared" si="0"/>
        <v>-7155</v>
      </c>
      <c r="E14" s="69">
        <f t="shared" si="1"/>
        <v>-0.0847387370315979</v>
      </c>
      <c r="F14" s="40">
        <f>SUM('TTL-NS'!F13,'TTL-SN'!F13)</f>
        <v>88330</v>
      </c>
      <c r="G14" s="48">
        <f>IF('TTL-NS'!G13="","",SUM('TTL-NS'!G13,'TTL-SN'!G13))</f>
        <v>83706</v>
      </c>
      <c r="H14" s="22">
        <f t="shared" si="2"/>
        <v>-4624</v>
      </c>
      <c r="I14" s="69">
        <f t="shared" si="3"/>
        <v>-0.05234914525076418</v>
      </c>
      <c r="J14" s="40">
        <f>SUM('TTL-NS'!J13,'TTL-SN'!J13)</f>
        <v>39806</v>
      </c>
      <c r="K14" s="48">
        <f>IF('TTL-NS'!K13="","",SUM('TTL-NS'!K13,'TTL-SN'!K13))</f>
        <v>38397</v>
      </c>
      <c r="L14" s="22">
        <f t="shared" si="4"/>
        <v>-1409</v>
      </c>
      <c r="M14" s="69">
        <f t="shared" si="5"/>
        <v>-0.035396673868261064</v>
      </c>
      <c r="N14" s="40">
        <f t="shared" si="9"/>
        <v>212572</v>
      </c>
      <c r="O14" s="35">
        <f t="shared" si="6"/>
        <v>199384</v>
      </c>
      <c r="P14" s="22">
        <f t="shared" si="7"/>
        <v>-13188</v>
      </c>
      <c r="Q14" s="69">
        <f t="shared" si="8"/>
        <v>-0.06204015580603278</v>
      </c>
    </row>
    <row r="15" spans="1:17" ht="10.5" customHeight="1">
      <c r="A15" s="20" t="s">
        <v>9</v>
      </c>
      <c r="B15" s="38">
        <f>SUM('TTL-NS'!B14,'TTL-SN'!B14)</f>
        <v>71447</v>
      </c>
      <c r="C15" s="47">
        <f>IF('TTL-NS'!C14="","",SUM('TTL-NS'!C14,'TTL-SN'!C14))</f>
      </c>
      <c r="D15" s="21">
        <f t="shared" si="0"/>
      </c>
      <c r="E15" s="68">
        <f t="shared" si="1"/>
      </c>
      <c r="F15" s="38">
        <f>SUM('TTL-NS'!F14,'TTL-SN'!F14)</f>
        <v>76818</v>
      </c>
      <c r="G15" s="47">
        <f>IF('TTL-NS'!G14="","",SUM('TTL-NS'!G14,'TTL-SN'!G14))</f>
      </c>
      <c r="H15" s="21">
        <f t="shared" si="2"/>
      </c>
      <c r="I15" s="68">
        <f t="shared" si="3"/>
      </c>
      <c r="J15" s="38">
        <f>SUM('TTL-NS'!J14,'TTL-SN'!J14)</f>
        <v>35061</v>
      </c>
      <c r="K15" s="47">
        <f>IF('TTL-NS'!K14="","",SUM('TTL-NS'!K14,'TTL-SN'!K14))</f>
      </c>
      <c r="L15" s="21">
        <f t="shared" si="4"/>
      </c>
      <c r="M15" s="68">
        <f t="shared" si="5"/>
      </c>
      <c r="N15" s="38">
        <f t="shared" si="9"/>
        <v>183326</v>
      </c>
      <c r="O15" s="34">
        <f t="shared" si="6"/>
      </c>
      <c r="P15" s="21">
        <f t="shared" si="7"/>
      </c>
      <c r="Q15" s="68">
        <f t="shared" si="8"/>
      </c>
    </row>
    <row r="16" spans="1:17" ht="10.5" customHeight="1">
      <c r="A16" s="20" t="s">
        <v>10</v>
      </c>
      <c r="B16" s="38">
        <f>SUM('TTL-NS'!B15,'TTL-SN'!B15)</f>
        <v>79954</v>
      </c>
      <c r="C16" s="47">
        <f>IF('TTL-NS'!C15="","",SUM('TTL-NS'!C15,'TTL-SN'!C15))</f>
      </c>
      <c r="D16" s="21">
        <f t="shared" si="0"/>
      </c>
      <c r="E16" s="68">
        <f t="shared" si="1"/>
      </c>
      <c r="F16" s="38">
        <f>SUM('TTL-NS'!F15,'TTL-SN'!F15)</f>
        <v>83409</v>
      </c>
      <c r="G16" s="47">
        <f>IF('TTL-NS'!G15="","",SUM('TTL-NS'!G15,'TTL-SN'!G15))</f>
      </c>
      <c r="H16" s="21">
        <f t="shared" si="2"/>
      </c>
      <c r="I16" s="68">
        <f t="shared" si="3"/>
      </c>
      <c r="J16" s="38">
        <f>SUM('TTL-NS'!J15,'TTL-SN'!J15)</f>
        <v>37649</v>
      </c>
      <c r="K16" s="47">
        <f>IF('TTL-NS'!K15="","",SUM('TTL-NS'!K15,'TTL-SN'!K15))</f>
      </c>
      <c r="L16" s="21">
        <f t="shared" si="4"/>
      </c>
      <c r="M16" s="68">
        <f t="shared" si="5"/>
      </c>
      <c r="N16" s="38">
        <f t="shared" si="9"/>
        <v>201012</v>
      </c>
      <c r="O16" s="34">
        <f t="shared" si="6"/>
      </c>
      <c r="P16" s="21">
        <f t="shared" si="7"/>
      </c>
      <c r="Q16" s="68">
        <f t="shared" si="8"/>
      </c>
    </row>
    <row r="17" spans="1:17" ht="10.5" customHeight="1">
      <c r="A17" s="20" t="s">
        <v>11</v>
      </c>
      <c r="B17" s="40">
        <f>SUM('TTL-NS'!B16,'TTL-SN'!B16)</f>
        <v>70384</v>
      </c>
      <c r="C17" s="48">
        <f>IF('TTL-NS'!C16="","",SUM('TTL-NS'!C16,'TTL-SN'!C16))</f>
      </c>
      <c r="D17" s="22">
        <f t="shared" si="0"/>
      </c>
      <c r="E17" s="69">
        <f t="shared" si="1"/>
      </c>
      <c r="F17" s="40">
        <f>SUM('TTL-NS'!F16,'TTL-SN'!F16)</f>
        <v>75091</v>
      </c>
      <c r="G17" s="48">
        <f>IF('TTL-NS'!G16="","",SUM('TTL-NS'!G16,'TTL-SN'!G16))</f>
      </c>
      <c r="H17" s="22">
        <f t="shared" si="2"/>
      </c>
      <c r="I17" s="69">
        <f t="shared" si="3"/>
      </c>
      <c r="J17" s="40">
        <f>SUM('TTL-NS'!J16,'TTL-SN'!J16)</f>
        <v>34782</v>
      </c>
      <c r="K17" s="48">
        <f>IF('TTL-NS'!K16="","",SUM('TTL-NS'!K16,'TTL-SN'!K16))</f>
      </c>
      <c r="L17" s="22">
        <f t="shared" si="4"/>
      </c>
      <c r="M17" s="69">
        <f t="shared" si="5"/>
      </c>
      <c r="N17" s="40">
        <f t="shared" si="9"/>
        <v>180257</v>
      </c>
      <c r="O17" s="35">
        <f t="shared" si="6"/>
      </c>
      <c r="P17" s="22">
        <f t="shared" si="7"/>
      </c>
      <c r="Q17" s="69">
        <f t="shared" si="8"/>
      </c>
    </row>
    <row r="18" spans="1:17" ht="10.5" customHeight="1">
      <c r="A18" s="20" t="s">
        <v>12</v>
      </c>
      <c r="B18" s="38">
        <f>SUM('TTL-NS'!B17,'TTL-SN'!B17)</f>
        <v>74117</v>
      </c>
      <c r="C18" s="47">
        <f>IF('TTL-NS'!C17="","",SUM('TTL-NS'!C17,'TTL-SN'!C17))</f>
      </c>
      <c r="D18" s="21">
        <f t="shared" si="0"/>
      </c>
      <c r="E18" s="68">
        <f t="shared" si="1"/>
      </c>
      <c r="F18" s="38">
        <f>SUM('TTL-NS'!F17,'TTL-SN'!F17)</f>
        <v>75642</v>
      </c>
      <c r="G18" s="47">
        <f>IF('TTL-NS'!G17="","",SUM('TTL-NS'!G17,'TTL-SN'!G17))</f>
      </c>
      <c r="H18" s="21">
        <f t="shared" si="2"/>
      </c>
      <c r="I18" s="68">
        <f t="shared" si="3"/>
      </c>
      <c r="J18" s="38">
        <f>SUM('TTL-NS'!J17,'TTL-SN'!J17)</f>
        <v>36179</v>
      </c>
      <c r="K18" s="47">
        <f>IF('TTL-NS'!K17="","",SUM('TTL-NS'!K17,'TTL-SN'!K17))</f>
      </c>
      <c r="L18" s="21">
        <f t="shared" si="4"/>
      </c>
      <c r="M18" s="68">
        <f t="shared" si="5"/>
      </c>
      <c r="N18" s="38">
        <f t="shared" si="9"/>
        <v>185938</v>
      </c>
      <c r="O18" s="34">
        <f t="shared" si="6"/>
      </c>
      <c r="P18" s="21">
        <f t="shared" si="7"/>
      </c>
      <c r="Q18" s="68">
        <f t="shared" si="8"/>
      </c>
    </row>
    <row r="19" spans="1:17" ht="10.5" customHeight="1">
      <c r="A19" s="20" t="s">
        <v>13</v>
      </c>
      <c r="B19" s="38">
        <f>SUM('TTL-NS'!B18,'TTL-SN'!B18)</f>
        <v>70312</v>
      </c>
      <c r="C19" s="47">
        <f>IF('TTL-NS'!C18="","",SUM('TTL-NS'!C18,'TTL-SN'!C18))</f>
      </c>
      <c r="D19" s="21">
        <f t="shared" si="0"/>
      </c>
      <c r="E19" s="68">
        <f t="shared" si="1"/>
      </c>
      <c r="F19" s="38">
        <f>SUM('TTL-NS'!F18,'TTL-SN'!F18)</f>
        <v>59462</v>
      </c>
      <c r="G19" s="47">
        <f>IF('TTL-NS'!G18="","",SUM('TTL-NS'!G18,'TTL-SN'!G18))</f>
      </c>
      <c r="H19" s="21">
        <f t="shared" si="2"/>
      </c>
      <c r="I19" s="68">
        <f t="shared" si="3"/>
      </c>
      <c r="J19" s="38">
        <f>SUM('TTL-NS'!J18,'TTL-SN'!J18)</f>
        <v>36300</v>
      </c>
      <c r="K19" s="47">
        <f>IF('TTL-NS'!K18="","",SUM('TTL-NS'!K18,'TTL-SN'!K18))</f>
      </c>
      <c r="L19" s="21">
        <f t="shared" si="4"/>
      </c>
      <c r="M19" s="68">
        <f t="shared" si="5"/>
      </c>
      <c r="N19" s="38">
        <f t="shared" si="9"/>
        <v>166074</v>
      </c>
      <c r="O19" s="34">
        <f t="shared" si="6"/>
      </c>
      <c r="P19" s="21">
        <f t="shared" si="7"/>
      </c>
      <c r="Q19" s="68">
        <f t="shared" si="8"/>
      </c>
    </row>
    <row r="20" spans="1:17" ht="10.5" customHeight="1">
      <c r="A20" s="20" t="s">
        <v>14</v>
      </c>
      <c r="B20" s="40">
        <f>SUM('TTL-NS'!B19,'TTL-SN'!B19)</f>
        <v>76295</v>
      </c>
      <c r="C20" s="48">
        <f>IF('TTL-NS'!C19="","",SUM('TTL-NS'!C19,'TTL-SN'!C19))</f>
      </c>
      <c r="D20" s="22">
        <f t="shared" si="0"/>
      </c>
      <c r="E20" s="69">
        <f t="shared" si="1"/>
      </c>
      <c r="F20" s="40">
        <f>SUM('TTL-NS'!F19,'TTL-SN'!F19)</f>
        <v>79369</v>
      </c>
      <c r="G20" s="48">
        <f>IF('TTL-NS'!G19="","",SUM('TTL-NS'!G19,'TTL-SN'!G19))</f>
      </c>
      <c r="H20" s="22">
        <f t="shared" si="2"/>
      </c>
      <c r="I20" s="69">
        <f t="shared" si="3"/>
      </c>
      <c r="J20" s="40">
        <f>SUM('TTL-NS'!J19,'TTL-SN'!J19)</f>
        <v>37328</v>
      </c>
      <c r="K20" s="48">
        <f>IF('TTL-NS'!K19="","",SUM('TTL-NS'!K19,'TTL-SN'!K19))</f>
      </c>
      <c r="L20" s="22">
        <f t="shared" si="4"/>
      </c>
      <c r="M20" s="69">
        <f t="shared" si="5"/>
      </c>
      <c r="N20" s="40">
        <f t="shared" si="9"/>
        <v>192992</v>
      </c>
      <c r="O20" s="35">
        <f t="shared" si="6"/>
      </c>
      <c r="P20" s="22">
        <f t="shared" si="7"/>
      </c>
      <c r="Q20" s="69">
        <f t="shared" si="8"/>
      </c>
    </row>
    <row r="21" spans="1:17" ht="10.5" customHeight="1">
      <c r="A21" s="20" t="s">
        <v>15</v>
      </c>
      <c r="B21" s="38">
        <f>SUM('TTL-NS'!B20,'TTL-SN'!B20)</f>
        <v>71945</v>
      </c>
      <c r="C21" s="47">
        <f>IF('TTL-NS'!C20="","",SUM('TTL-NS'!C20,'TTL-SN'!C20))</f>
      </c>
      <c r="D21" s="21">
        <f t="shared" si="0"/>
      </c>
      <c r="E21" s="68">
        <f t="shared" si="1"/>
      </c>
      <c r="F21" s="38">
        <f>SUM('TTL-NS'!F20,'TTL-SN'!F20)</f>
        <v>77510</v>
      </c>
      <c r="G21" s="47">
        <f>IF('TTL-NS'!G20="","",SUM('TTL-NS'!G20,'TTL-SN'!G20))</f>
      </c>
      <c r="H21" s="21">
        <f t="shared" si="2"/>
      </c>
      <c r="I21" s="68">
        <f t="shared" si="3"/>
      </c>
      <c r="J21" s="38">
        <f>SUM('TTL-NS'!J20,'TTL-SN'!J20)</f>
        <v>35511</v>
      </c>
      <c r="K21" s="47">
        <f>IF('TTL-NS'!K20="","",SUM('TTL-NS'!K20,'TTL-SN'!K20))</f>
      </c>
      <c r="L21" s="21">
        <f t="shared" si="4"/>
      </c>
      <c r="M21" s="68">
        <f t="shared" si="5"/>
      </c>
      <c r="N21" s="38">
        <f t="shared" si="9"/>
        <v>184966</v>
      </c>
      <c r="O21" s="34">
        <f t="shared" si="6"/>
      </c>
      <c r="P21" s="21">
        <f t="shared" si="7"/>
      </c>
      <c r="Q21" s="68">
        <f t="shared" si="8"/>
      </c>
    </row>
    <row r="22" spans="1:17" ht="10.5" customHeight="1">
      <c r="A22" s="20" t="s">
        <v>16</v>
      </c>
      <c r="B22" s="38">
        <f>SUM('TTL-NS'!B21,'TTL-SN'!B21)</f>
        <v>73699</v>
      </c>
      <c r="C22" s="47">
        <f>IF('TTL-NS'!C21="","",SUM('TTL-NS'!C21,'TTL-SN'!C21))</f>
      </c>
      <c r="D22" s="21">
        <f t="shared" si="0"/>
      </c>
      <c r="E22" s="68">
        <f t="shared" si="1"/>
      </c>
      <c r="F22" s="38">
        <f>SUM('TTL-NS'!F21,'TTL-SN'!F21)</f>
        <v>77387</v>
      </c>
      <c r="G22" s="47">
        <f>IF('TTL-NS'!G21="","",SUM('TTL-NS'!G21,'TTL-SN'!G21))</f>
      </c>
      <c r="H22" s="21">
        <f t="shared" si="2"/>
      </c>
      <c r="I22" s="68">
        <f t="shared" si="3"/>
      </c>
      <c r="J22" s="38">
        <f>SUM('TTL-NS'!J21,'TTL-SN'!J21)</f>
        <v>35345</v>
      </c>
      <c r="K22" s="47">
        <f>IF('TTL-NS'!K21="","",SUM('TTL-NS'!K21,'TTL-SN'!K21))</f>
      </c>
      <c r="L22" s="21">
        <f t="shared" si="4"/>
      </c>
      <c r="M22" s="68">
        <f t="shared" si="5"/>
      </c>
      <c r="N22" s="38">
        <f t="shared" si="9"/>
        <v>186431</v>
      </c>
      <c r="O22" s="34">
        <f t="shared" si="6"/>
      </c>
      <c r="P22" s="21">
        <f t="shared" si="7"/>
      </c>
      <c r="Q22" s="68">
        <f t="shared" si="8"/>
      </c>
    </row>
    <row r="23" spans="1:17" ht="10.5" customHeight="1" thickBot="1">
      <c r="A23" s="23" t="s">
        <v>17</v>
      </c>
      <c r="B23" s="39">
        <f>SUM('TTL-NS'!B22,'TTL-SN'!B22)</f>
        <v>60197</v>
      </c>
      <c r="C23" s="49">
        <f>IF('TTL-NS'!C22="","",SUM('TTL-NS'!C22,'TTL-SN'!C22))</f>
      </c>
      <c r="D23" s="21">
        <f t="shared" si="0"/>
      </c>
      <c r="E23" s="54">
        <f t="shared" si="1"/>
      </c>
      <c r="F23" s="39">
        <f>SUM('TTL-NS'!F22,'TTL-SN'!F22)</f>
        <v>63867</v>
      </c>
      <c r="G23" s="49">
        <f>IF('TTL-NS'!G22="","",SUM('TTL-NS'!G22,'TTL-SN'!G22))</f>
      </c>
      <c r="H23" s="21">
        <f t="shared" si="2"/>
      </c>
      <c r="I23" s="54">
        <f t="shared" si="3"/>
      </c>
      <c r="J23" s="39">
        <f>SUM('TTL-NS'!J22,'TTL-SN'!J22)</f>
        <v>29995</v>
      </c>
      <c r="K23" s="49">
        <f>IF('TTL-NS'!K22="","",SUM('TTL-NS'!K22,'TTL-SN'!K22))</f>
      </c>
      <c r="L23" s="21">
        <f t="shared" si="4"/>
      </c>
      <c r="M23" s="54">
        <f t="shared" si="5"/>
      </c>
      <c r="N23" s="39">
        <f t="shared" si="9"/>
        <v>154059</v>
      </c>
      <c r="O23" s="36">
        <f t="shared" si="6"/>
      </c>
      <c r="P23" s="21">
        <f t="shared" si="7"/>
      </c>
      <c r="Q23" s="54">
        <f t="shared" si="8"/>
      </c>
    </row>
    <row r="24" spans="1:17" ht="11.25" customHeight="1" thickBot="1">
      <c r="A24" s="44" t="s">
        <v>3</v>
      </c>
      <c r="B24" s="41">
        <f>IF(C25&lt;7,B25,B26)</f>
        <v>220191</v>
      </c>
      <c r="C24" s="42">
        <f>IF(C12="","",SUM(C12:C23))</f>
        <v>209775</v>
      </c>
      <c r="D24" s="43">
        <f>IF(D12="","",SUM(D12:D23))</f>
        <v>-10416</v>
      </c>
      <c r="E24" s="61">
        <f t="shared" si="1"/>
        <v>-0.0473043857378367</v>
      </c>
      <c r="F24" s="41">
        <f>IF(G25&lt;7,F25,F26)</f>
        <v>240851</v>
      </c>
      <c r="G24" s="42">
        <f>IF(G12="","",SUM(G12:G23))</f>
        <v>229490</v>
      </c>
      <c r="H24" s="43">
        <f>IF(H12="","",SUM(H12:H23))</f>
        <v>-11361</v>
      </c>
      <c r="I24" s="61">
        <f t="shared" si="3"/>
        <v>-0.04717024218292638</v>
      </c>
      <c r="J24" s="41">
        <f>IF(K25&lt;7,J25,J26)</f>
        <v>101822</v>
      </c>
      <c r="K24" s="42">
        <f>IF(K12="","",SUM(K12:K23))</f>
        <v>99423</v>
      </c>
      <c r="L24" s="43">
        <f>IF(L12="","",SUM(L12:L23))</f>
        <v>-2399</v>
      </c>
      <c r="M24" s="61">
        <f t="shared" si="5"/>
        <v>-0.023560723615721552</v>
      </c>
      <c r="N24" s="41">
        <f>IF(O25&lt;7,N25,N26)</f>
        <v>562864</v>
      </c>
      <c r="O24" s="42">
        <f>IF(O12="","",SUM(O12:O23))</f>
        <v>538688</v>
      </c>
      <c r="P24" s="43">
        <f>IF(P12="","",SUM(P12:P23))</f>
        <v>-24176</v>
      </c>
      <c r="Q24" s="61">
        <f t="shared" si="8"/>
        <v>-0.04295176099377469</v>
      </c>
    </row>
    <row r="25" spans="1:17" ht="9.75" customHeight="1">
      <c r="A25" s="85" t="s">
        <v>28</v>
      </c>
      <c r="B25" s="90">
        <f>IF(C25=1,B12,IF(C25=2,SUM(B12:B13),IF(C25=3,SUM(B12:B14),IF(C25=4,SUM(B12:B15),IF(C25=5,SUM(B12:B16),IF(C25=6,SUM(B12:B17),""))))))</f>
        <v>220191</v>
      </c>
      <c r="C25" s="56">
        <f>COUNTIF(C12:C23,"&gt;0")</f>
        <v>3</v>
      </c>
      <c r="D25" s="56"/>
      <c r="E25" s="57"/>
      <c r="F25" s="90">
        <f>IF(G25=1,F12,IF(G25=2,SUM(F12:F13),IF(G25=3,SUM(F12:F14),IF(G25=4,SUM(F12:F15),IF(G25=5,SUM(F12:F16),IF(G25=6,SUM(F12:F17),""))))))</f>
        <v>240851</v>
      </c>
      <c r="G25" s="56">
        <f>COUNTIF(G12:G23,"&gt;0")</f>
        <v>3</v>
      </c>
      <c r="H25" s="56"/>
      <c r="I25" s="57"/>
      <c r="J25" s="90">
        <f>IF(K25=1,J12,IF(K25=2,SUM(J12:J13),IF(K25=3,SUM(J12:J14),IF(K25=4,SUM(J12:J15),IF(K25=5,SUM(J12:J16),IF(K25=6,SUM(J12:J17),""))))))</f>
        <v>101822</v>
      </c>
      <c r="K25" s="56">
        <f>COUNTIF(K12:K23,"&gt;0")</f>
        <v>3</v>
      </c>
      <c r="L25" s="56"/>
      <c r="M25" s="57"/>
      <c r="N25" s="90">
        <f>IF(O25=1,N12,IF(O25=2,SUM(N12:N13),IF(O25=3,SUM(N12:N14),IF(O25=4,SUM(N12:N15),IF(O25=5,SUM(N12:N16),IF(O25=6,SUM(N12:N17),""))))))</f>
        <v>562864</v>
      </c>
      <c r="O25" s="56">
        <f>COUNTIF(O12:O23,"&gt;0")</f>
        <v>3</v>
      </c>
      <c r="P25" s="24"/>
      <c r="Q25" s="25"/>
    </row>
    <row r="26" spans="2:14" ht="10.5" customHeight="1">
      <c r="B26" s="88">
        <f>IF(C25=7,SUM(B12:B18),IF(C25=8,SUM(B12:B19),IF(C25=9,SUM(B12:B20),IF(C25=10,SUM(B12:B21),IF(C25=11,SUM(B12:B22),SUM(B12:B23))))))</f>
        <v>868541</v>
      </c>
      <c r="F26" s="88">
        <f>IF(G25=7,SUM(F12:F18),IF(G25=8,SUM(F12:F19),IF(G25=9,SUM(F12:F20),IF(G25=10,SUM(F12:F21),IF(G25=11,SUM(F12:F22),SUM(F12:F23))))))</f>
        <v>909406</v>
      </c>
      <c r="J26" s="88">
        <f>IF(K25=7,SUM(J12:J18),IF(K25=8,SUM(J12:J19),IF(K25=9,SUM(J12:J20),IF(K25=10,SUM(J12:J21),IF(K25=11,SUM(J12:J22),SUM(J12:J23))))))</f>
        <v>419972</v>
      </c>
      <c r="N26" s="88">
        <f>IF(O25=7,SUM(N12:N18),IF(O25=8,SUM(N12:N19),IF(O25=9,SUM(N12:N20),IF(O25=10,SUM(N12:N21),IF(O25=11,SUM(N12:N22),SUM(N12:N23))))))</f>
        <v>2197919</v>
      </c>
    </row>
    <row r="27" spans="1:6" ht="11.25" customHeight="1">
      <c r="A27" s="7"/>
      <c r="B27" s="132" t="s">
        <v>22</v>
      </c>
      <c r="C27" s="133"/>
      <c r="D27" s="133"/>
      <c r="E27" s="133"/>
      <c r="F27" s="9" t="s">
        <v>31</v>
      </c>
    </row>
    <row r="28" spans="2:6" ht="11.25" customHeight="1" thickBot="1">
      <c r="B28" s="134"/>
      <c r="C28" s="134"/>
      <c r="D28" s="134"/>
      <c r="E28" s="134"/>
      <c r="F28" s="2" t="s">
        <v>34</v>
      </c>
    </row>
    <row r="29" spans="1:17" ht="11.25" customHeight="1" thickBot="1">
      <c r="A29" s="26" t="s">
        <v>4</v>
      </c>
      <c r="B29" s="113" t="s">
        <v>0</v>
      </c>
      <c r="C29" s="130"/>
      <c r="D29" s="130"/>
      <c r="E29" s="131"/>
      <c r="F29" s="119" t="s">
        <v>1</v>
      </c>
      <c r="G29" s="120"/>
      <c r="H29" s="120"/>
      <c r="I29" s="121"/>
      <c r="J29" s="122" t="s">
        <v>2</v>
      </c>
      <c r="K29" s="123"/>
      <c r="L29" s="123"/>
      <c r="M29" s="123"/>
      <c r="N29" s="124" t="s">
        <v>3</v>
      </c>
      <c r="O29" s="125"/>
      <c r="P29" s="125"/>
      <c r="Q29" s="126"/>
    </row>
    <row r="30" spans="1:19" ht="11.25" customHeight="1" thickBot="1">
      <c r="A30" s="10"/>
      <c r="B30" s="50">
        <f>$B$10</f>
        <v>2011</v>
      </c>
      <c r="C30" s="51">
        <f>$C$10</f>
        <v>2012</v>
      </c>
      <c r="D30" s="116" t="s">
        <v>5</v>
      </c>
      <c r="E30" s="117"/>
      <c r="F30" s="50">
        <f>$B$10</f>
        <v>2011</v>
      </c>
      <c r="G30" s="51">
        <f>$C$10</f>
        <v>2012</v>
      </c>
      <c r="H30" s="116" t="s">
        <v>5</v>
      </c>
      <c r="I30" s="117"/>
      <c r="J30" s="50">
        <f>$B$10</f>
        <v>2011</v>
      </c>
      <c r="K30" s="51">
        <f>$C$10</f>
        <v>2012</v>
      </c>
      <c r="L30" s="116" t="s">
        <v>5</v>
      </c>
      <c r="M30" s="117"/>
      <c r="N30" s="50">
        <f>$B$10</f>
        <v>2011</v>
      </c>
      <c r="O30" s="51">
        <f>$C$10</f>
        <v>2012</v>
      </c>
      <c r="P30" s="116" t="s">
        <v>5</v>
      </c>
      <c r="Q30" s="118"/>
      <c r="R30" s="83" t="str">
        <f>RIGHT(B10,2)</f>
        <v>11</v>
      </c>
      <c r="S30" s="82" t="str">
        <f>RIGHT(C10,2)</f>
        <v>12</v>
      </c>
    </row>
    <row r="31" spans="1:19" ht="11.25" customHeight="1" thickBot="1">
      <c r="A31" s="84" t="s">
        <v>24</v>
      </c>
      <c r="B31" s="11">
        <f>T44</f>
        <v>64</v>
      </c>
      <c r="C31" s="12">
        <f>U44</f>
        <v>63</v>
      </c>
      <c r="D31" s="13"/>
      <c r="E31" s="17"/>
      <c r="F31" s="18"/>
      <c r="G31" s="16"/>
      <c r="H31" s="13"/>
      <c r="I31" s="17"/>
      <c r="J31" s="18"/>
      <c r="K31" s="16"/>
      <c r="L31" s="13"/>
      <c r="M31" s="17"/>
      <c r="N31" s="18"/>
      <c r="O31" s="19"/>
      <c r="P31" s="13"/>
      <c r="Q31" s="14"/>
      <c r="R31" s="139" t="s">
        <v>23</v>
      </c>
      <c r="S31" s="140"/>
    </row>
    <row r="32" spans="1:21" ht="10.5" customHeight="1">
      <c r="A32" s="20" t="s">
        <v>6</v>
      </c>
      <c r="B32" s="75">
        <f aca="true" t="shared" si="10" ref="B32:B43">IF(C12="","",B12/$R32)</f>
        <v>3108.1428571428573</v>
      </c>
      <c r="C32" s="78">
        <f aca="true" t="shared" si="11" ref="C32:C43">IF(C12="","",C12/$S32)</f>
        <v>3104.6190476190477</v>
      </c>
      <c r="D32" s="74">
        <f aca="true" t="shared" si="12" ref="D32:D43">IF(C32="","",C32-B32)</f>
        <v>-3.523809523809632</v>
      </c>
      <c r="E32" s="70">
        <f aca="true" t="shared" si="13" ref="E32:E44">IF(C32="","",(C32-B32)/ABS(B32))</f>
        <v>-0.0011337347367131232</v>
      </c>
      <c r="F32" s="75">
        <f aca="true" t="shared" si="14" ref="F32:F43">IF(G12="","",F12/$R32)</f>
        <v>3525.8571428571427</v>
      </c>
      <c r="G32" s="78">
        <f aca="true" t="shared" si="15" ref="G32:G43">IF(G12="","",G12/$S32)</f>
        <v>3303.8571428571427</v>
      </c>
      <c r="H32" s="93">
        <f aca="true" t="shared" si="16" ref="H32:H43">IF(G32="","",G32-F32)</f>
        <v>-222</v>
      </c>
      <c r="I32" s="70">
        <f aca="true" t="shared" si="17" ref="I32:I44">IF(G32="","",(G32-F32)/ABS(F32))</f>
        <v>-0.0629634131518172</v>
      </c>
      <c r="J32" s="75">
        <f aca="true" t="shared" si="18" ref="J32:J43">IF(K12="","",J12/$R32)</f>
        <v>1397.6190476190477</v>
      </c>
      <c r="K32" s="78">
        <f aca="true" t="shared" si="19" ref="K32:K43">IF(K12="","",K12/$S32)</f>
        <v>1431</v>
      </c>
      <c r="L32" s="93">
        <f aca="true" t="shared" si="20" ref="L32:L43">IF(K32="","",K32-J32)</f>
        <v>33.380952380952294</v>
      </c>
      <c r="M32" s="70">
        <f aca="true" t="shared" si="21" ref="M32:M44">IF(K32="","",(K32-J32)/ABS(J32))</f>
        <v>0.023884156729131113</v>
      </c>
      <c r="N32" s="75">
        <f aca="true" t="shared" si="22" ref="N32:N43">IF(O12="","",N12/$R32)</f>
        <v>8031.619047619048</v>
      </c>
      <c r="O32" s="78">
        <f aca="true" t="shared" si="23" ref="O32:O43">IF(O12="","",O12/$S32)</f>
        <v>7839.476190476191</v>
      </c>
      <c r="P32" s="93">
        <f aca="true" t="shared" si="24" ref="P32:P43">IF(O32="","",O32-N32)</f>
        <v>-192.14285714285688</v>
      </c>
      <c r="Q32" s="68">
        <f aca="true" t="shared" si="25" ref="Q32:Q44">IF(O32="","",(O32-N32)/ABS(N32))</f>
        <v>-0.023923303135227402</v>
      </c>
      <c r="R32" s="64">
        <f>'BON-NS'!R31</f>
        <v>21</v>
      </c>
      <c r="S32" s="65">
        <v>21</v>
      </c>
      <c r="T32" s="89">
        <f>IF(OR(N32="",N32=0),"",R32)</f>
        <v>21</v>
      </c>
      <c r="U32" s="89">
        <f>IF(OR(O32="",O32=0),"",S32)</f>
        <v>21</v>
      </c>
    </row>
    <row r="33" spans="1:21" ht="10.5" customHeight="1">
      <c r="A33" s="20" t="s">
        <v>7</v>
      </c>
      <c r="B33" s="75">
        <f t="shared" si="10"/>
        <v>3524.2</v>
      </c>
      <c r="C33" s="78">
        <f t="shared" si="11"/>
        <v>3364.85</v>
      </c>
      <c r="D33" s="74">
        <f t="shared" si="12"/>
        <v>-159.3499999999999</v>
      </c>
      <c r="E33" s="70">
        <f t="shared" si="13"/>
        <v>-0.04521593553146811</v>
      </c>
      <c r="F33" s="75">
        <f t="shared" si="14"/>
        <v>3923.9</v>
      </c>
      <c r="G33" s="78">
        <f t="shared" si="15"/>
        <v>3820.15</v>
      </c>
      <c r="H33" s="93">
        <f t="shared" si="16"/>
        <v>-103.75</v>
      </c>
      <c r="I33" s="70">
        <f t="shared" si="17"/>
        <v>-0.026440531104258518</v>
      </c>
      <c r="J33" s="75">
        <f t="shared" si="18"/>
        <v>1633.3</v>
      </c>
      <c r="K33" s="78">
        <f t="shared" si="19"/>
        <v>1548.75</v>
      </c>
      <c r="L33" s="93">
        <f t="shared" si="20"/>
        <v>-84.54999999999995</v>
      </c>
      <c r="M33" s="70">
        <f t="shared" si="21"/>
        <v>-0.051766362578828114</v>
      </c>
      <c r="N33" s="75">
        <f t="shared" si="22"/>
        <v>9081.4</v>
      </c>
      <c r="O33" s="78">
        <f t="shared" si="23"/>
        <v>8733.75</v>
      </c>
      <c r="P33" s="93">
        <f t="shared" si="24"/>
        <v>-347.64999999999964</v>
      </c>
      <c r="Q33" s="68">
        <f t="shared" si="25"/>
        <v>-0.03828154249344811</v>
      </c>
      <c r="R33" s="64">
        <f>'BON-NS'!R32</f>
        <v>20</v>
      </c>
      <c r="S33" s="65">
        <v>20</v>
      </c>
      <c r="T33" s="89">
        <f aca="true" t="shared" si="26" ref="T33:U43">IF(OR(N33="",N33=0),"",R33)</f>
        <v>20</v>
      </c>
      <c r="U33" s="89">
        <f t="shared" si="26"/>
        <v>20</v>
      </c>
    </row>
    <row r="34" spans="1:21" ht="10.5" customHeight="1">
      <c r="A34" s="20" t="s">
        <v>8</v>
      </c>
      <c r="B34" s="76">
        <f t="shared" si="10"/>
        <v>3671.1304347826085</v>
      </c>
      <c r="C34" s="79">
        <f t="shared" si="11"/>
        <v>3512.7727272727275</v>
      </c>
      <c r="D34" s="81">
        <f t="shared" si="12"/>
        <v>-158.35770750988104</v>
      </c>
      <c r="E34" s="71">
        <f t="shared" si="13"/>
        <v>-0.04313595235121588</v>
      </c>
      <c r="F34" s="76">
        <f t="shared" si="14"/>
        <v>3840.4347826086955</v>
      </c>
      <c r="G34" s="79">
        <f t="shared" si="15"/>
        <v>3804.818181818182</v>
      </c>
      <c r="H34" s="94">
        <f t="shared" si="16"/>
        <v>-35.61660079051353</v>
      </c>
      <c r="I34" s="71">
        <f t="shared" si="17"/>
        <v>-0.009274106398526109</v>
      </c>
      <c r="J34" s="76">
        <f t="shared" si="18"/>
        <v>1730.695652173913</v>
      </c>
      <c r="K34" s="79">
        <f t="shared" si="19"/>
        <v>1745.3181818181818</v>
      </c>
      <c r="L34" s="94">
        <f t="shared" si="20"/>
        <v>14.622529644268752</v>
      </c>
      <c r="M34" s="71">
        <f t="shared" si="21"/>
        <v>0.008448931864999782</v>
      </c>
      <c r="N34" s="76">
        <f t="shared" si="22"/>
        <v>9242.260869565218</v>
      </c>
      <c r="O34" s="79">
        <f t="shared" si="23"/>
        <v>9062.90909090909</v>
      </c>
      <c r="P34" s="94">
        <f t="shared" si="24"/>
        <v>-179.35177865612786</v>
      </c>
      <c r="Q34" s="69">
        <f t="shared" si="25"/>
        <v>-0.019405617433579873</v>
      </c>
      <c r="R34" s="66">
        <f>'BON-NS'!R33</f>
        <v>23</v>
      </c>
      <c r="S34" s="98">
        <v>22</v>
      </c>
      <c r="T34" s="89">
        <f t="shared" si="26"/>
        <v>23</v>
      </c>
      <c r="U34" s="89">
        <f t="shared" si="26"/>
        <v>22</v>
      </c>
    </row>
    <row r="35" spans="1:21" ht="10.5" customHeight="1">
      <c r="A35" s="20" t="s">
        <v>9</v>
      </c>
      <c r="B35" s="75">
        <f t="shared" si="10"/>
      </c>
      <c r="C35" s="78">
        <f t="shared" si="11"/>
      </c>
      <c r="D35" s="74">
        <f t="shared" si="12"/>
      </c>
      <c r="E35" s="70">
        <f t="shared" si="13"/>
      </c>
      <c r="F35" s="75">
        <f t="shared" si="14"/>
      </c>
      <c r="G35" s="78">
        <f t="shared" si="15"/>
      </c>
      <c r="H35" s="93">
        <f t="shared" si="16"/>
      </c>
      <c r="I35" s="70">
        <f t="shared" si="17"/>
      </c>
      <c r="J35" s="75">
        <f t="shared" si="18"/>
      </c>
      <c r="K35" s="78">
        <f t="shared" si="19"/>
      </c>
      <c r="L35" s="93">
        <f t="shared" si="20"/>
      </c>
      <c r="M35" s="70">
        <f t="shared" si="21"/>
      </c>
      <c r="N35" s="75">
        <f t="shared" si="22"/>
      </c>
      <c r="O35" s="78">
        <f t="shared" si="23"/>
      </c>
      <c r="P35" s="93">
        <f t="shared" si="24"/>
      </c>
      <c r="Q35" s="68">
        <f t="shared" si="25"/>
      </c>
      <c r="R35" s="64">
        <f>'BON-NS'!R34</f>
        <v>19</v>
      </c>
      <c r="S35" s="65">
        <v>20</v>
      </c>
      <c r="T35" s="89">
        <f t="shared" si="26"/>
      </c>
      <c r="U35" s="89">
        <f t="shared" si="26"/>
      </c>
    </row>
    <row r="36" spans="1:21" ht="10.5" customHeight="1">
      <c r="A36" s="20" t="s">
        <v>10</v>
      </c>
      <c r="B36" s="75">
        <f t="shared" si="10"/>
      </c>
      <c r="C36" s="78">
        <f t="shared" si="11"/>
      </c>
      <c r="D36" s="74">
        <f t="shared" si="12"/>
      </c>
      <c r="E36" s="70">
        <f t="shared" si="13"/>
      </c>
      <c r="F36" s="75">
        <f t="shared" si="14"/>
      </c>
      <c r="G36" s="78">
        <f t="shared" si="15"/>
      </c>
      <c r="H36" s="93">
        <f t="shared" si="16"/>
      </c>
      <c r="I36" s="70">
        <f t="shared" si="17"/>
      </c>
      <c r="J36" s="75">
        <f t="shared" si="18"/>
      </c>
      <c r="K36" s="78">
        <f t="shared" si="19"/>
      </c>
      <c r="L36" s="93">
        <f t="shared" si="20"/>
      </c>
      <c r="M36" s="70">
        <f t="shared" si="21"/>
      </c>
      <c r="N36" s="75">
        <f t="shared" si="22"/>
      </c>
      <c r="O36" s="78">
        <f t="shared" si="23"/>
      </c>
      <c r="P36" s="93">
        <f t="shared" si="24"/>
      </c>
      <c r="Q36" s="68">
        <f t="shared" si="25"/>
      </c>
      <c r="R36" s="64">
        <f>'BON-NS'!R35</f>
        <v>22</v>
      </c>
      <c r="S36" s="65">
        <v>19</v>
      </c>
      <c r="T36" s="89">
        <f t="shared" si="26"/>
      </c>
      <c r="U36" s="89">
        <f t="shared" si="26"/>
      </c>
    </row>
    <row r="37" spans="1:21" ht="10.5" customHeight="1">
      <c r="A37" s="20" t="s">
        <v>11</v>
      </c>
      <c r="B37" s="76">
        <f t="shared" si="10"/>
      </c>
      <c r="C37" s="79">
        <f t="shared" si="11"/>
      </c>
      <c r="D37" s="81">
        <f t="shared" si="12"/>
      </c>
      <c r="E37" s="71">
        <f t="shared" si="13"/>
      </c>
      <c r="F37" s="76">
        <f t="shared" si="14"/>
      </c>
      <c r="G37" s="79">
        <f t="shared" si="15"/>
      </c>
      <c r="H37" s="94">
        <f t="shared" si="16"/>
      </c>
      <c r="I37" s="71">
        <f t="shared" si="17"/>
      </c>
      <c r="J37" s="76">
        <f t="shared" si="18"/>
      </c>
      <c r="K37" s="79">
        <f t="shared" si="19"/>
      </c>
      <c r="L37" s="94">
        <f t="shared" si="20"/>
      </c>
      <c r="M37" s="71">
        <f t="shared" si="21"/>
      </c>
      <c r="N37" s="76">
        <f t="shared" si="22"/>
      </c>
      <c r="O37" s="79">
        <f t="shared" si="23"/>
      </c>
      <c r="P37" s="94">
        <f t="shared" si="24"/>
      </c>
      <c r="Q37" s="69">
        <f t="shared" si="25"/>
      </c>
      <c r="R37" s="66">
        <f>'BON-NS'!R36</f>
        <v>20</v>
      </c>
      <c r="S37" s="98">
        <v>21</v>
      </c>
      <c r="T37" s="89">
        <f t="shared" si="26"/>
      </c>
      <c r="U37" s="89">
        <f t="shared" si="26"/>
      </c>
    </row>
    <row r="38" spans="1:21" ht="10.5" customHeight="1">
      <c r="A38" s="20" t="s">
        <v>12</v>
      </c>
      <c r="B38" s="75">
        <f t="shared" si="10"/>
      </c>
      <c r="C38" s="78">
        <f t="shared" si="11"/>
      </c>
      <c r="D38" s="74">
        <f t="shared" si="12"/>
      </c>
      <c r="E38" s="70">
        <f t="shared" si="13"/>
      </c>
      <c r="F38" s="75">
        <f t="shared" si="14"/>
      </c>
      <c r="G38" s="78">
        <f t="shared" si="15"/>
      </c>
      <c r="H38" s="93">
        <f t="shared" si="16"/>
      </c>
      <c r="I38" s="70">
        <f t="shared" si="17"/>
      </c>
      <c r="J38" s="75">
        <f t="shared" si="18"/>
      </c>
      <c r="K38" s="78">
        <f t="shared" si="19"/>
      </c>
      <c r="L38" s="93">
        <f t="shared" si="20"/>
      </c>
      <c r="M38" s="70">
        <f t="shared" si="21"/>
      </c>
      <c r="N38" s="75">
        <f t="shared" si="22"/>
      </c>
      <c r="O38" s="78">
        <f t="shared" si="23"/>
      </c>
      <c r="P38" s="93">
        <f t="shared" si="24"/>
      </c>
      <c r="Q38" s="68">
        <f t="shared" si="25"/>
      </c>
      <c r="R38" s="64">
        <f>'BON-NS'!R37</f>
        <v>21</v>
      </c>
      <c r="S38" s="65">
        <v>23</v>
      </c>
      <c r="T38" s="89">
        <f t="shared" si="26"/>
      </c>
      <c r="U38" s="89">
        <f t="shared" si="26"/>
      </c>
    </row>
    <row r="39" spans="1:21" ht="10.5" customHeight="1">
      <c r="A39" s="20" t="s">
        <v>13</v>
      </c>
      <c r="B39" s="75">
        <f t="shared" si="10"/>
      </c>
      <c r="C39" s="78">
        <f t="shared" si="11"/>
      </c>
      <c r="D39" s="74">
        <f t="shared" si="12"/>
      </c>
      <c r="E39" s="70">
        <f t="shared" si="13"/>
      </c>
      <c r="F39" s="75">
        <f t="shared" si="14"/>
      </c>
      <c r="G39" s="78">
        <f t="shared" si="15"/>
      </c>
      <c r="H39" s="93">
        <f t="shared" si="16"/>
      </c>
      <c r="I39" s="70">
        <f t="shared" si="17"/>
      </c>
      <c r="J39" s="75">
        <f t="shared" si="18"/>
      </c>
      <c r="K39" s="78">
        <f t="shared" si="19"/>
      </c>
      <c r="L39" s="93">
        <f t="shared" si="20"/>
      </c>
      <c r="M39" s="70">
        <f t="shared" si="21"/>
      </c>
      <c r="N39" s="75">
        <f t="shared" si="22"/>
      </c>
      <c r="O39" s="78">
        <f t="shared" si="23"/>
      </c>
      <c r="P39" s="93">
        <f t="shared" si="24"/>
      </c>
      <c r="Q39" s="68">
        <f t="shared" si="25"/>
      </c>
      <c r="R39" s="64">
        <f>'BON-NS'!R38</f>
        <v>22</v>
      </c>
      <c r="S39" s="65">
        <v>21</v>
      </c>
      <c r="T39" s="89">
        <f t="shared" si="26"/>
      </c>
      <c r="U39" s="89">
        <f t="shared" si="26"/>
      </c>
    </row>
    <row r="40" spans="1:21" ht="10.5" customHeight="1">
      <c r="A40" s="20" t="s">
        <v>14</v>
      </c>
      <c r="B40" s="76">
        <f t="shared" si="10"/>
      </c>
      <c r="C40" s="79">
        <f t="shared" si="11"/>
      </c>
      <c r="D40" s="81">
        <f t="shared" si="12"/>
      </c>
      <c r="E40" s="71">
        <f t="shared" si="13"/>
      </c>
      <c r="F40" s="76">
        <f t="shared" si="14"/>
      </c>
      <c r="G40" s="79">
        <f t="shared" si="15"/>
      </c>
      <c r="H40" s="94">
        <f t="shared" si="16"/>
      </c>
      <c r="I40" s="71">
        <f t="shared" si="17"/>
      </c>
      <c r="J40" s="76">
        <f t="shared" si="18"/>
      </c>
      <c r="K40" s="79">
        <f t="shared" si="19"/>
      </c>
      <c r="L40" s="94">
        <f t="shared" si="20"/>
      </c>
      <c r="M40" s="71">
        <f t="shared" si="21"/>
      </c>
      <c r="N40" s="76">
        <f t="shared" si="22"/>
      </c>
      <c r="O40" s="79">
        <f t="shared" si="23"/>
      </c>
      <c r="P40" s="94">
        <f t="shared" si="24"/>
      </c>
      <c r="Q40" s="69">
        <f t="shared" si="25"/>
      </c>
      <c r="R40" s="66">
        <f>'BON-NS'!R39</f>
        <v>22</v>
      </c>
      <c r="S40" s="98">
        <v>22</v>
      </c>
      <c r="T40" s="89">
        <f t="shared" si="26"/>
      </c>
      <c r="U40" s="89">
        <f t="shared" si="26"/>
      </c>
    </row>
    <row r="41" spans="1:21" ht="10.5" customHeight="1">
      <c r="A41" s="20" t="s">
        <v>15</v>
      </c>
      <c r="B41" s="75">
        <f t="shared" si="10"/>
      </c>
      <c r="C41" s="78">
        <f t="shared" si="11"/>
      </c>
      <c r="D41" s="74">
        <f t="shared" si="12"/>
      </c>
      <c r="E41" s="70">
        <f t="shared" si="13"/>
      </c>
      <c r="F41" s="75">
        <f t="shared" si="14"/>
      </c>
      <c r="G41" s="78">
        <f t="shared" si="15"/>
      </c>
      <c r="H41" s="93">
        <f t="shared" si="16"/>
      </c>
      <c r="I41" s="70">
        <f t="shared" si="17"/>
      </c>
      <c r="J41" s="75">
        <f t="shared" si="18"/>
      </c>
      <c r="K41" s="78">
        <f t="shared" si="19"/>
      </c>
      <c r="L41" s="93">
        <f t="shared" si="20"/>
      </c>
      <c r="M41" s="70">
        <f t="shared" si="21"/>
      </c>
      <c r="N41" s="75">
        <f t="shared" si="22"/>
      </c>
      <c r="O41" s="78">
        <f t="shared" si="23"/>
      </c>
      <c r="P41" s="93">
        <f t="shared" si="24"/>
      </c>
      <c r="Q41" s="68">
        <f t="shared" si="25"/>
      </c>
      <c r="R41" s="64">
        <f>'BON-NS'!R40</f>
        <v>21</v>
      </c>
      <c r="S41" s="65">
        <v>22</v>
      </c>
      <c r="T41" s="89">
        <f t="shared" si="26"/>
      </c>
      <c r="U41" s="89">
        <f t="shared" si="26"/>
      </c>
    </row>
    <row r="42" spans="1:21" ht="10.5" customHeight="1">
      <c r="A42" s="20" t="s">
        <v>16</v>
      </c>
      <c r="B42" s="75">
        <f t="shared" si="10"/>
      </c>
      <c r="C42" s="78">
        <f t="shared" si="11"/>
      </c>
      <c r="D42" s="74">
        <f t="shared" si="12"/>
      </c>
      <c r="E42" s="70">
        <f t="shared" si="13"/>
      </c>
      <c r="F42" s="75">
        <f t="shared" si="14"/>
      </c>
      <c r="G42" s="78">
        <f t="shared" si="15"/>
      </c>
      <c r="H42" s="93">
        <f t="shared" si="16"/>
      </c>
      <c r="I42" s="70">
        <f t="shared" si="17"/>
      </c>
      <c r="J42" s="75">
        <f t="shared" si="18"/>
      </c>
      <c r="K42" s="78">
        <f t="shared" si="19"/>
      </c>
      <c r="L42" s="93">
        <f t="shared" si="20"/>
      </c>
      <c r="M42" s="70">
        <f t="shared" si="21"/>
      </c>
      <c r="N42" s="75">
        <f t="shared" si="22"/>
      </c>
      <c r="O42" s="78">
        <f t="shared" si="23"/>
      </c>
      <c r="P42" s="93">
        <f t="shared" si="24"/>
      </c>
      <c r="Q42" s="68">
        <f t="shared" si="25"/>
      </c>
      <c r="R42" s="64">
        <f>'BON-NS'!R41</f>
        <v>22</v>
      </c>
      <c r="S42" s="65">
        <v>21</v>
      </c>
      <c r="T42" s="89">
        <f t="shared" si="26"/>
      </c>
      <c r="U42" s="89">
        <f t="shared" si="26"/>
      </c>
    </row>
    <row r="43" spans="1:21" ht="10.5" customHeight="1" thickBot="1">
      <c r="A43" s="20" t="s">
        <v>17</v>
      </c>
      <c r="B43" s="75">
        <f t="shared" si="10"/>
      </c>
      <c r="C43" s="78">
        <f t="shared" si="11"/>
      </c>
      <c r="D43" s="74">
        <f t="shared" si="12"/>
      </c>
      <c r="E43" s="70">
        <f t="shared" si="13"/>
      </c>
      <c r="F43" s="75">
        <f t="shared" si="14"/>
      </c>
      <c r="G43" s="78">
        <f t="shared" si="15"/>
      </c>
      <c r="H43" s="93">
        <f t="shared" si="16"/>
      </c>
      <c r="I43" s="70">
        <f t="shared" si="17"/>
      </c>
      <c r="J43" s="75">
        <f t="shared" si="18"/>
      </c>
      <c r="K43" s="78">
        <f t="shared" si="19"/>
      </c>
      <c r="L43" s="93">
        <f t="shared" si="20"/>
      </c>
      <c r="M43" s="70">
        <f t="shared" si="21"/>
      </c>
      <c r="N43" s="75">
        <f t="shared" si="22"/>
      </c>
      <c r="O43" s="78">
        <f t="shared" si="23"/>
      </c>
      <c r="P43" s="93">
        <f t="shared" si="24"/>
      </c>
      <c r="Q43" s="68">
        <f t="shared" si="25"/>
      </c>
      <c r="R43" s="64">
        <f>'BON-NS'!R42</f>
        <v>21</v>
      </c>
      <c r="S43" s="65">
        <v>22</v>
      </c>
      <c r="T43" s="89">
        <f t="shared" si="26"/>
      </c>
      <c r="U43" s="89">
        <f t="shared" si="26"/>
      </c>
    </row>
    <row r="44" spans="1:21" ht="11.25" customHeight="1" thickBot="1">
      <c r="A44" s="87" t="s">
        <v>29</v>
      </c>
      <c r="B44" s="77">
        <f>AVERAGE(B32:B43)</f>
        <v>3434.4910973084884</v>
      </c>
      <c r="C44" s="80">
        <f>IF(C12="","",AVERAGE(C32:C43))</f>
        <v>3327.413924963925</v>
      </c>
      <c r="D44" s="72">
        <f>IF(D32="","",AVERAGE(D32:D43))</f>
        <v>-107.07717234456352</v>
      </c>
      <c r="E44" s="62">
        <f t="shared" si="13"/>
        <v>-0.03117701263761508</v>
      </c>
      <c r="F44" s="77">
        <f>AVERAGE(F32:F43)</f>
        <v>3763.397308488613</v>
      </c>
      <c r="G44" s="80">
        <f>IF(G12="","",AVERAGE(G32:G43))</f>
        <v>3642.941774891775</v>
      </c>
      <c r="H44" s="95">
        <f>IF(H32="","",AVERAGE(H32:H43))</f>
        <v>-120.45553359683784</v>
      </c>
      <c r="I44" s="62">
        <f t="shared" si="17"/>
        <v>-0.032007126466594926</v>
      </c>
      <c r="J44" s="77">
        <f>AVERAGE(J32:J43)</f>
        <v>1587.204899930987</v>
      </c>
      <c r="K44" s="80">
        <f>IF(K12="","",AVERAGE(K32:K43))</f>
        <v>1575.0227272727273</v>
      </c>
      <c r="L44" s="95">
        <f>IF(L32="","",AVERAGE(L32:L43))</f>
        <v>-12.182172658259637</v>
      </c>
      <c r="M44" s="62">
        <f t="shared" si="21"/>
        <v>-0.007675236296705913</v>
      </c>
      <c r="N44" s="77">
        <f>AVERAGE(N32:N43)</f>
        <v>8785.093305728087</v>
      </c>
      <c r="O44" s="80">
        <f>IF(O12="","",AVERAGE(O32:O43))</f>
        <v>8545.378427128426</v>
      </c>
      <c r="P44" s="95">
        <f>IF(P32="","",AVERAGE(P32:P43))</f>
        <v>-239.71487859966146</v>
      </c>
      <c r="Q44" s="63">
        <f t="shared" si="25"/>
        <v>-0.027286548959401687</v>
      </c>
      <c r="R44" s="67">
        <f>SUM(R32:R43)</f>
        <v>254</v>
      </c>
      <c r="S44" s="99">
        <f>SUM(S32:S43)</f>
        <v>254</v>
      </c>
      <c r="T44" s="89">
        <f>SUM(T32:T43)</f>
        <v>64</v>
      </c>
      <c r="U44" s="88">
        <f>SUM(U32:U43)</f>
        <v>63</v>
      </c>
    </row>
    <row r="45" spans="1:17" s="30" customFormat="1" ht="9.75" customHeight="1">
      <c r="A45" s="86" t="s">
        <v>28</v>
      </c>
      <c r="B45" s="37"/>
      <c r="C45" s="58">
        <f>COUNTIF(C32:C43,"&gt;0")</f>
        <v>3</v>
      </c>
      <c r="D45" s="59"/>
      <c r="E45" s="60"/>
      <c r="F45" s="58"/>
      <c r="G45" s="58">
        <f>COUNTIF(G32:G43,"&gt;0")</f>
        <v>3</v>
      </c>
      <c r="H45" s="59"/>
      <c r="I45" s="60"/>
      <c r="J45" s="58"/>
      <c r="K45" s="58">
        <f>COUNTIF(K32:K43,"&gt;0")</f>
        <v>3</v>
      </c>
      <c r="L45" s="59"/>
      <c r="M45" s="60"/>
      <c r="N45" s="58"/>
      <c r="O45" s="58">
        <f>COUNTIF(O32:O43,"&gt;0")</f>
        <v>3</v>
      </c>
      <c r="P45" s="28"/>
      <c r="Q45" s="5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password="CFDB" sheet="1" objects="1" scenarios="1"/>
  <mergeCells count="23">
    <mergeCell ref="B7:E8"/>
    <mergeCell ref="B27:E28"/>
    <mergeCell ref="B2:E2"/>
    <mergeCell ref="D3:E3"/>
    <mergeCell ref="D4:E4"/>
    <mergeCell ref="B3:C3"/>
    <mergeCell ref="R31:S31"/>
    <mergeCell ref="B9:E9"/>
    <mergeCell ref="D30:E30"/>
    <mergeCell ref="H30:I30"/>
    <mergeCell ref="L30:M30"/>
    <mergeCell ref="P30:Q30"/>
    <mergeCell ref="D10:E10"/>
    <mergeCell ref="H10:I10"/>
    <mergeCell ref="L10:M10"/>
    <mergeCell ref="P10:Q10"/>
    <mergeCell ref="F9:I9"/>
    <mergeCell ref="J9:M9"/>
    <mergeCell ref="N9:Q9"/>
    <mergeCell ref="B29:E29"/>
    <mergeCell ref="F29:I29"/>
    <mergeCell ref="J29:M29"/>
    <mergeCell ref="N29:Q29"/>
  </mergeCells>
  <conditionalFormatting sqref="S32:S44">
    <cfRule type="expression" priority="1" dxfId="3" stopIfTrue="1">
      <formula>S32&lt;$R32</formula>
    </cfRule>
    <cfRule type="expression" priority="2" dxfId="2" stopIfTrue="1">
      <formula>S32&gt;$R32</formula>
    </cfRule>
  </conditionalFormatting>
  <conditionalFormatting sqref="B15:B22 F13:F23 J13:J23 N13:N23">
    <cfRule type="expression" priority="3" dxfId="0" stopIfTrue="1">
      <formula>C13=""</formula>
    </cfRule>
  </conditionalFormatting>
  <conditionalFormatting sqref="B23 B13:B14">
    <cfRule type="expression" priority="4" dxfId="0" stopIfTrue="1">
      <formula>C13=""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Q1">
      <selection activeCell="AE51" sqref="AE51"/>
    </sheetView>
  </sheetViews>
  <sheetFormatPr defaultColWidth="11.421875" defaultRowHeight="12.75"/>
  <cols>
    <col min="1" max="45" width="5.8515625" style="0" customWidth="1"/>
  </cols>
  <sheetData>
    <row r="1" spans="2:34" ht="12.75">
      <c r="B1" s="102" t="s">
        <v>52</v>
      </c>
      <c r="C1" s="102" t="s">
        <v>35</v>
      </c>
      <c r="D1" s="102" t="s">
        <v>51</v>
      </c>
      <c r="Q1" t="s">
        <v>52</v>
      </c>
      <c r="R1" t="s">
        <v>35</v>
      </c>
      <c r="S1" t="s">
        <v>51</v>
      </c>
      <c r="AF1" t="s">
        <v>52</v>
      </c>
      <c r="AG1" t="s">
        <v>35</v>
      </c>
      <c r="AH1" t="s">
        <v>51</v>
      </c>
    </row>
    <row r="2" spans="1:34" ht="12.75">
      <c r="A2" t="s">
        <v>37</v>
      </c>
      <c r="B2" s="100">
        <f>'BSL-NS'!C31</f>
        <v>526.0952380952381</v>
      </c>
      <c r="C2" s="100">
        <f>'BWA-NS'!C31</f>
        <v>688.7619047619048</v>
      </c>
      <c r="D2" s="100">
        <f>'RFA-NS'!C31</f>
        <v>475.6190476190476</v>
      </c>
      <c r="P2" s="104" t="s">
        <v>37</v>
      </c>
      <c r="Q2" s="103">
        <f>'BSL-NS'!G31</f>
        <v>779</v>
      </c>
      <c r="R2" s="103">
        <f>'BWA-NS'!G31</f>
        <v>611.4285714285714</v>
      </c>
      <c r="S2">
        <f>'RFA-NS'!G31</f>
        <v>325.14285714285717</v>
      </c>
      <c r="AE2" s="104" t="s">
        <v>37</v>
      </c>
      <c r="AF2" s="103">
        <f>'BSL-NS'!K31</f>
        <v>124.95238095238095</v>
      </c>
      <c r="AG2" s="103">
        <f>'BWA-NS'!K31</f>
        <v>106.95238095238095</v>
      </c>
      <c r="AH2" s="103">
        <f>'RFA-NS'!K31</f>
        <v>50.80952380952381</v>
      </c>
    </row>
    <row r="3" spans="1:34" ht="12.75">
      <c r="A3" t="s">
        <v>38</v>
      </c>
      <c r="B3" s="100">
        <f>'BSL-NS'!C32</f>
        <v>564.45</v>
      </c>
      <c r="C3" s="100">
        <f>'BWA-NS'!C32</f>
        <v>735.1</v>
      </c>
      <c r="D3" s="100">
        <f>'RFA-NS'!C32</f>
        <v>546.9</v>
      </c>
      <c r="P3" s="104" t="s">
        <v>38</v>
      </c>
      <c r="Q3" s="103">
        <f>'BSL-NS'!G32</f>
        <v>923.95</v>
      </c>
      <c r="R3" s="103">
        <f>'BWA-NS'!G32</f>
        <v>670.4</v>
      </c>
      <c r="S3">
        <f>'RFA-NS'!G32</f>
        <v>383</v>
      </c>
      <c r="AE3" s="104" t="s">
        <v>38</v>
      </c>
      <c r="AF3" s="103">
        <f>'BSL-NS'!K32</f>
        <v>138.15</v>
      </c>
      <c r="AG3" s="103">
        <f>'BWA-NS'!K32</f>
        <v>117.85</v>
      </c>
      <c r="AH3" s="103">
        <f>'RFA-NS'!K32</f>
        <v>27.3</v>
      </c>
    </row>
    <row r="4" spans="1:34" ht="12.75">
      <c r="A4" t="s">
        <v>39</v>
      </c>
      <c r="B4" s="100">
        <f>'BSL-NS'!C33</f>
        <v>561.5217391304348</v>
      </c>
      <c r="C4" s="100">
        <f>'BWA-NS'!C33</f>
        <v>716.3478260869565</v>
      </c>
      <c r="D4" s="100">
        <f>'RFA-NS'!C33</f>
        <v>561.9130434782609</v>
      </c>
      <c r="P4" s="104" t="s">
        <v>39</v>
      </c>
      <c r="Q4" s="103">
        <f>'BSL-NS'!G33</f>
        <v>892.2608695652174</v>
      </c>
      <c r="R4" s="103">
        <f>'BWA-NS'!G33</f>
        <v>619.1304347826087</v>
      </c>
      <c r="S4">
        <f>'RFA-NS'!G33</f>
        <v>345.4347826086956</v>
      </c>
      <c r="U4" s="101"/>
      <c r="AE4" s="104" t="s">
        <v>39</v>
      </c>
      <c r="AF4" s="103">
        <f>'BSL-NS'!K33</f>
        <v>128</v>
      </c>
      <c r="AG4" s="103">
        <f>'BWA-NS'!K33</f>
        <v>114.30434782608695</v>
      </c>
      <c r="AH4" s="103">
        <f>'RFA-NS'!K33</f>
        <v>61.21739130434783</v>
      </c>
    </row>
    <row r="5" spans="1:34" ht="12.75">
      <c r="A5" t="s">
        <v>40</v>
      </c>
      <c r="B5" s="100">
        <f>'BSL-NS'!C34</f>
      </c>
      <c r="C5" s="100">
        <f>'BWA-NS'!C34</f>
      </c>
      <c r="D5" s="100">
        <f>'RFA-NS'!C34</f>
      </c>
      <c r="P5" s="104" t="s">
        <v>40</v>
      </c>
      <c r="Q5" s="103">
        <f>'BSL-NS'!G34</f>
      </c>
      <c r="R5" s="103">
        <f>'BWA-NS'!G34</f>
      </c>
      <c r="S5">
        <f>'RFA-NS'!G34</f>
      </c>
      <c r="U5" s="101"/>
      <c r="AE5" s="104" t="s">
        <v>40</v>
      </c>
      <c r="AF5" s="103">
        <f>'BSL-NS'!K34</f>
      </c>
      <c r="AG5" s="103">
        <f>'BWA-NS'!K34</f>
      </c>
      <c r="AH5" s="103">
        <f>'RFA-NS'!K34</f>
      </c>
    </row>
    <row r="6" spans="1:34" ht="12.75">
      <c r="A6" t="s">
        <v>10</v>
      </c>
      <c r="B6" s="100">
        <f>'BSL-NS'!C35</f>
      </c>
      <c r="C6" s="100">
        <f>'BWA-NS'!C35</f>
      </c>
      <c r="D6" s="100">
        <f>'RFA-NS'!C35</f>
      </c>
      <c r="P6" s="104" t="s">
        <v>10</v>
      </c>
      <c r="Q6" s="103">
        <f>'BSL-NS'!G35</f>
      </c>
      <c r="R6" s="103">
        <f>'BWA-NS'!G35</f>
      </c>
      <c r="S6">
        <f>'RFA-NS'!G35</f>
      </c>
      <c r="AE6" s="104" t="s">
        <v>10</v>
      </c>
      <c r="AF6" s="103">
        <f>'BSL-NS'!K35</f>
      </c>
      <c r="AG6" s="103">
        <f>'BWA-NS'!K35</f>
      </c>
      <c r="AH6" s="103">
        <f>'RFA-NS'!K35</f>
      </c>
    </row>
    <row r="7" spans="1:34" ht="12.75">
      <c r="A7" t="s">
        <v>41</v>
      </c>
      <c r="B7" s="100">
        <f>'BSL-NS'!C36</f>
      </c>
      <c r="C7" s="100">
        <f>'BWA-NS'!C36</f>
      </c>
      <c r="D7" s="100">
        <f>'RFA-NS'!C36</f>
      </c>
      <c r="P7" s="104" t="s">
        <v>41</v>
      </c>
      <c r="Q7" s="103">
        <f>'BSL-NS'!G36</f>
      </c>
      <c r="R7" s="103">
        <f>'BWA-NS'!G36</f>
      </c>
      <c r="S7">
        <f>'RFA-NS'!G36</f>
      </c>
      <c r="AE7" s="104" t="s">
        <v>41</v>
      </c>
      <c r="AF7" s="103">
        <f>'BSL-NS'!K36</f>
      </c>
      <c r="AG7" s="103">
        <f>'BWA-NS'!K36</f>
      </c>
      <c r="AH7" s="103">
        <f>'RFA-NS'!K36</f>
      </c>
    </row>
    <row r="8" spans="1:34" ht="12.75">
      <c r="A8" t="s">
        <v>42</v>
      </c>
      <c r="B8" s="100">
        <f>'BSL-NS'!C37</f>
      </c>
      <c r="C8" s="100">
        <f>'BWA-NS'!C37</f>
      </c>
      <c r="D8" s="100">
        <f>'RFA-NS'!C37</f>
      </c>
      <c r="P8" s="104" t="s">
        <v>42</v>
      </c>
      <c r="Q8" s="103">
        <f>'BSL-NS'!G37</f>
      </c>
      <c r="R8" s="103">
        <f>'BWA-NS'!G37</f>
      </c>
      <c r="S8">
        <f>'RFA-NS'!G37</f>
      </c>
      <c r="AE8" s="104" t="s">
        <v>42</v>
      </c>
      <c r="AF8" s="103">
        <f>'BSL-NS'!K37</f>
      </c>
      <c r="AG8" s="103">
        <f>'BWA-NS'!K37</f>
      </c>
      <c r="AH8" s="103">
        <f>'RFA-NS'!K37</f>
      </c>
    </row>
    <row r="9" spans="1:34" ht="12.75">
      <c r="A9" t="s">
        <v>43</v>
      </c>
      <c r="B9" s="100">
        <f>'BSL-NS'!C38</f>
      </c>
      <c r="C9" s="100">
        <f>'BWA-NS'!C38</f>
      </c>
      <c r="D9" s="100">
        <f>'RFA-NS'!C38</f>
      </c>
      <c r="P9" s="104" t="s">
        <v>43</v>
      </c>
      <c r="Q9" s="103">
        <f>'BSL-NS'!G38</f>
      </c>
      <c r="R9" s="103">
        <f>'BWA-NS'!G38</f>
      </c>
      <c r="S9">
        <f>'RFA-NS'!G38</f>
      </c>
      <c r="AE9" s="104" t="s">
        <v>43</v>
      </c>
      <c r="AF9" s="103">
        <f>'BSL-NS'!K38</f>
      </c>
      <c r="AG9" s="103">
        <f>'BWA-NS'!K38</f>
      </c>
      <c r="AH9" s="103">
        <f>'RFA-NS'!K38</f>
      </c>
    </row>
    <row r="10" spans="1:34" ht="12.75">
      <c r="A10" t="s">
        <v>44</v>
      </c>
      <c r="B10" s="100">
        <f>'BSL-NS'!C39</f>
      </c>
      <c r="C10" s="100">
        <f>'BWA-NS'!C39</f>
      </c>
      <c r="D10" s="100">
        <f>'RFA-NS'!C39</f>
      </c>
      <c r="P10" s="104" t="s">
        <v>44</v>
      </c>
      <c r="Q10" s="103">
        <f>'BSL-NS'!G39</f>
      </c>
      <c r="R10" s="103">
        <f>'BWA-NS'!G39</f>
      </c>
      <c r="S10">
        <f>'RFA-NS'!G39</f>
      </c>
      <c r="AE10" s="104" t="s">
        <v>44</v>
      </c>
      <c r="AF10" s="103">
        <f>'BSL-NS'!K39</f>
      </c>
      <c r="AG10" s="103">
        <f>'BWA-NS'!K39</f>
      </c>
      <c r="AH10" s="103">
        <f>'RFA-NS'!K39</f>
      </c>
    </row>
    <row r="11" spans="1:34" ht="12.75">
      <c r="A11" t="s">
        <v>45</v>
      </c>
      <c r="B11" s="100">
        <f>'BSL-NS'!C40</f>
      </c>
      <c r="C11" s="100">
        <f>'BWA-NS'!C40</f>
      </c>
      <c r="D11" s="100">
        <f>'RFA-NS'!C40</f>
      </c>
      <c r="P11" s="104" t="s">
        <v>45</v>
      </c>
      <c r="Q11" s="103">
        <f>'BSL-NS'!G40</f>
      </c>
      <c r="R11" s="103">
        <f>'BWA-NS'!G40</f>
      </c>
      <c r="S11">
        <f>'RFA-NS'!G40</f>
      </c>
      <c r="AE11" s="104" t="s">
        <v>45</v>
      </c>
      <c r="AF11" s="103">
        <f>'BSL-NS'!K40</f>
      </c>
      <c r="AG11" s="103">
        <f>'BWA-NS'!K40</f>
      </c>
      <c r="AH11" s="103">
        <f>'RFA-NS'!K40</f>
      </c>
    </row>
    <row r="12" spans="1:34" ht="12.75">
      <c r="A12" t="s">
        <v>46</v>
      </c>
      <c r="B12" s="100">
        <f>'BSL-NS'!C41</f>
      </c>
      <c r="C12" s="100">
        <f>'BWA-NS'!C41</f>
      </c>
      <c r="D12" s="100">
        <f>'RFA-NS'!C41</f>
      </c>
      <c r="P12" s="104" t="s">
        <v>46</v>
      </c>
      <c r="Q12" s="103">
        <f>'BSL-NS'!G41</f>
      </c>
      <c r="R12" s="103">
        <f>'BWA-NS'!G41</f>
      </c>
      <c r="S12">
        <f>'RFA-NS'!G41</f>
      </c>
      <c r="AE12" s="104" t="s">
        <v>46</v>
      </c>
      <c r="AF12" s="103">
        <f>'BSL-NS'!K41</f>
      </c>
      <c r="AG12" s="103">
        <f>'BWA-NS'!K41</f>
      </c>
      <c r="AH12" s="103">
        <f>'RFA-NS'!K41</f>
      </c>
    </row>
    <row r="13" spans="1:34" ht="12.75">
      <c r="A13" t="s">
        <v>47</v>
      </c>
      <c r="B13" s="100">
        <f>'BSL-NS'!C42</f>
      </c>
      <c r="C13" s="100">
        <f>'BWA-NS'!C42</f>
      </c>
      <c r="D13" s="100">
        <f>'RFA-NS'!C42</f>
      </c>
      <c r="P13" s="104" t="s">
        <v>47</v>
      </c>
      <c r="Q13" s="103">
        <f>'BSL-NS'!G42</f>
      </c>
      <c r="R13" s="103">
        <f>'BWA-NS'!G42</f>
      </c>
      <c r="S13">
        <f>'RFA-NS'!G42</f>
      </c>
      <c r="AE13" s="104" t="s">
        <v>47</v>
      </c>
      <c r="AF13" s="103">
        <f>'BSL-NS'!K42</f>
      </c>
      <c r="AG13" s="103">
        <f>'BWA-NS'!K42</f>
      </c>
      <c r="AH13" s="103">
        <f>'RFA-NS'!K42</f>
      </c>
    </row>
    <row r="14" spans="18:33" ht="12.75">
      <c r="R14" s="106"/>
      <c r="AG14" s="106"/>
    </row>
    <row r="15" spans="1:32" ht="12.75">
      <c r="A15" s="102" t="s">
        <v>48</v>
      </c>
      <c r="B15" s="102" t="s">
        <v>36</v>
      </c>
      <c r="P15" s="105" t="s">
        <v>1</v>
      </c>
      <c r="Q15" s="105" t="s">
        <v>36</v>
      </c>
      <c r="AE15" s="105" t="s">
        <v>2</v>
      </c>
      <c r="AF15" s="105" t="s">
        <v>36</v>
      </c>
    </row>
    <row r="16" spans="31:32" ht="12.75">
      <c r="AE16" s="105"/>
      <c r="AF16" s="105"/>
    </row>
    <row r="17" spans="16:21" ht="12.75">
      <c r="P17" s="105"/>
      <c r="Q17" s="105"/>
      <c r="R17" s="100"/>
      <c r="S17" s="100"/>
      <c r="T17" s="100">
        <f>'BSL-NS'!K42</f>
      </c>
      <c r="U17" s="100">
        <f>'BWA-NS'!K42</f>
      </c>
    </row>
    <row r="19" spans="4:21" ht="12.75">
      <c r="D19" s="100"/>
      <c r="R19" s="100"/>
      <c r="S19" s="100"/>
      <c r="T19" s="100"/>
      <c r="U19" s="100"/>
    </row>
    <row r="20" spans="3:21" ht="12.75">
      <c r="C20" s="100"/>
      <c r="D20" s="100"/>
      <c r="R20" s="100"/>
      <c r="S20" s="100"/>
      <c r="T20" s="100"/>
      <c r="U20" s="100"/>
    </row>
    <row r="26" spans="2:34" ht="12.75">
      <c r="B26" t="s">
        <v>52</v>
      </c>
      <c r="C26" t="s">
        <v>35</v>
      </c>
      <c r="D26" t="s">
        <v>51</v>
      </c>
      <c r="P26" s="106"/>
      <c r="Q26" s="106" t="s">
        <v>52</v>
      </c>
      <c r="R26" s="106" t="s">
        <v>35</v>
      </c>
      <c r="S26" s="106" t="s">
        <v>51</v>
      </c>
      <c r="AF26" t="s">
        <v>52</v>
      </c>
      <c r="AG26" t="s">
        <v>35</v>
      </c>
      <c r="AH26" t="s">
        <v>51</v>
      </c>
    </row>
    <row r="27" spans="1:34" ht="12.75">
      <c r="A27" s="104" t="s">
        <v>37</v>
      </c>
      <c r="B27" s="107">
        <f>'BSL-SN'!C31</f>
        <v>176.38095238095238</v>
      </c>
      <c r="C27" s="107">
        <f>'BWA-SN'!C31</f>
        <v>817.5714285714286</v>
      </c>
      <c r="D27" s="107">
        <f>'RFA-SN'!C31</f>
        <v>325.14285714285717</v>
      </c>
      <c r="P27" s="104" t="s">
        <v>37</v>
      </c>
      <c r="Q27" s="103">
        <f>'BSL-SN'!G31</f>
        <v>718.0952380952381</v>
      </c>
      <c r="R27" s="103">
        <f>'BWA-SN'!G31</f>
        <v>579.6666666666666</v>
      </c>
      <c r="S27" s="103">
        <f>'RFA-SN'!G31</f>
        <v>258.14285714285717</v>
      </c>
      <c r="AE27" s="104" t="s">
        <v>37</v>
      </c>
      <c r="AF27" s="103">
        <f>'BSL-SN'!K31</f>
        <v>350.1904761904762</v>
      </c>
      <c r="AG27" s="103">
        <f>'BWA-SN'!K31</f>
        <v>443.3809523809524</v>
      </c>
      <c r="AH27" s="103">
        <f>'RFA-SN'!K31</f>
        <v>315.5238095238095</v>
      </c>
    </row>
    <row r="28" spans="1:34" ht="12.75">
      <c r="A28" s="104" t="s">
        <v>38</v>
      </c>
      <c r="B28" s="107">
        <f>'BSL-SN'!C32</f>
        <v>176.35</v>
      </c>
      <c r="C28" s="107">
        <f>'BWA-SN'!C32</f>
        <v>879.7</v>
      </c>
      <c r="D28" s="107">
        <f>'RFA-SN'!C32</f>
        <v>369.65</v>
      </c>
      <c r="P28" s="104" t="s">
        <v>38</v>
      </c>
      <c r="Q28" s="103">
        <f>'BSL-SN'!G32</f>
        <v>864.45</v>
      </c>
      <c r="R28" s="103">
        <f>'BWA-SN'!G32</f>
        <v>636.1</v>
      </c>
      <c r="S28" s="103">
        <f>'RFA-SN'!G32</f>
        <v>300.45</v>
      </c>
      <c r="AE28" s="104" t="s">
        <v>38</v>
      </c>
      <c r="AF28" s="103">
        <f>'BSL-SN'!K32</f>
        <v>367.7</v>
      </c>
      <c r="AG28" s="103">
        <f>'BWA-SN'!K32</f>
        <v>484.75</v>
      </c>
      <c r="AH28" s="103">
        <f>'RFA-SN'!K32</f>
        <v>355.75</v>
      </c>
    </row>
    <row r="29" spans="1:34" ht="12.75">
      <c r="A29" s="104" t="s">
        <v>39</v>
      </c>
      <c r="B29" s="107">
        <f>'BSL-SN'!C33</f>
        <v>172.08695652173913</v>
      </c>
      <c r="C29" s="107">
        <f>'BWA-SN'!C33</f>
        <v>859.9130434782609</v>
      </c>
      <c r="D29" s="107">
        <f>'RFA-SN'!C33</f>
        <v>364.0869565217391</v>
      </c>
      <c r="P29" s="104" t="s">
        <v>39</v>
      </c>
      <c r="Q29" s="103">
        <f>'BSL-SN'!G33</f>
        <v>840.3478260869565</v>
      </c>
      <c r="R29" s="103">
        <f>'BWA-SN'!G33</f>
        <v>601.7826086956521</v>
      </c>
      <c r="S29" s="103">
        <f>'RFA-SN'!G33</f>
        <v>298.7826086956522</v>
      </c>
      <c r="AE29" s="104" t="s">
        <v>39</v>
      </c>
      <c r="AF29" s="103">
        <f>'BSL-SN'!K33</f>
        <v>362.5652173913044</v>
      </c>
      <c r="AG29" s="103">
        <f>'BWA-SN'!K33</f>
        <v>524.4782608695652</v>
      </c>
      <c r="AH29" s="103">
        <f>'RFA-SN'!K33</f>
        <v>424.4347826086956</v>
      </c>
    </row>
    <row r="30" spans="1:34" ht="12.75">
      <c r="A30" s="104" t="s">
        <v>40</v>
      </c>
      <c r="B30" s="107">
        <f>'BSL-SN'!C34</f>
      </c>
      <c r="C30" s="107">
        <f>'BWA-SN'!C34</f>
      </c>
      <c r="D30" s="107">
        <f>'RFA-SN'!C34</f>
      </c>
      <c r="P30" s="104" t="s">
        <v>40</v>
      </c>
      <c r="Q30" s="103">
        <f>'BSL-SN'!G34</f>
      </c>
      <c r="R30" s="103">
        <f>'BWA-SN'!G34</f>
      </c>
      <c r="S30" s="103">
        <f>'RFA-SN'!G34</f>
      </c>
      <c r="AE30" s="104" t="s">
        <v>40</v>
      </c>
      <c r="AF30" s="103">
        <f>'BSL-SN'!K34</f>
      </c>
      <c r="AG30" s="103">
        <f>'BWA-SN'!K34</f>
      </c>
      <c r="AH30" s="103">
        <f>'RFA-SN'!K34</f>
      </c>
    </row>
    <row r="31" spans="1:34" ht="12.75">
      <c r="A31" s="104" t="s">
        <v>10</v>
      </c>
      <c r="B31" s="107">
        <f>'BSL-SN'!C35</f>
      </c>
      <c r="C31" s="107">
        <f>'BWA-SN'!C35</f>
      </c>
      <c r="D31" s="107">
        <f>'RFA-SN'!C35</f>
      </c>
      <c r="P31" s="104" t="s">
        <v>10</v>
      </c>
      <c r="Q31" s="103">
        <f>'BSL-SN'!G35</f>
      </c>
      <c r="R31" s="103">
        <f>'BWA-SN'!G35</f>
      </c>
      <c r="S31" s="103">
        <f>'RFA-SN'!G35</f>
      </c>
      <c r="AE31" s="104" t="s">
        <v>10</v>
      </c>
      <c r="AF31" s="103">
        <f>'BSL-SN'!K35</f>
      </c>
      <c r="AG31" s="103">
        <f>'BWA-SN'!K35</f>
      </c>
      <c r="AH31" s="103">
        <f>'RFA-SN'!K35</f>
      </c>
    </row>
    <row r="32" spans="1:34" ht="12.75">
      <c r="A32" s="104" t="s">
        <v>41</v>
      </c>
      <c r="B32" s="107">
        <f>'BSL-SN'!C36</f>
      </c>
      <c r="C32" s="107">
        <f>'BWA-SN'!C36</f>
      </c>
      <c r="D32" s="107">
        <f>'RFA-SN'!C36</f>
      </c>
      <c r="P32" s="104" t="s">
        <v>41</v>
      </c>
      <c r="Q32" s="103">
        <f>'BSL-SN'!G36</f>
      </c>
      <c r="R32" s="103">
        <f>'BWA-SN'!G36</f>
      </c>
      <c r="S32" s="103">
        <f>'RFA-SN'!G36</f>
      </c>
      <c r="AE32" s="104" t="s">
        <v>41</v>
      </c>
      <c r="AF32" s="103">
        <f>'BSL-SN'!K36</f>
      </c>
      <c r="AG32" s="103">
        <f>'BWA-SN'!K36</f>
      </c>
      <c r="AH32" s="103">
        <f>'RFA-SN'!K36</f>
      </c>
    </row>
    <row r="33" spans="1:34" ht="12.75">
      <c r="A33" s="104" t="s">
        <v>42</v>
      </c>
      <c r="B33" s="107">
        <f>'BSL-SN'!C37</f>
      </c>
      <c r="C33" s="107">
        <f>'BWA-SN'!C37</f>
      </c>
      <c r="D33" s="107">
        <f>'RFA-SN'!C37</f>
      </c>
      <c r="P33" s="104" t="s">
        <v>42</v>
      </c>
      <c r="Q33" s="103">
        <f>'BSL-SN'!G37</f>
      </c>
      <c r="R33" s="103">
        <f>'BWA-SN'!G37</f>
      </c>
      <c r="S33" s="103">
        <f>'RFA-SN'!G37</f>
      </c>
      <c r="AE33" s="104" t="s">
        <v>42</v>
      </c>
      <c r="AF33" s="103">
        <f>'BSL-SN'!K37</f>
      </c>
      <c r="AG33" s="103">
        <f>'BWA-SN'!K37</f>
      </c>
      <c r="AH33" s="103">
        <f>'RFA-SN'!K37</f>
      </c>
    </row>
    <row r="34" spans="1:34" ht="12.75">
      <c r="A34" s="104" t="s">
        <v>43</v>
      </c>
      <c r="B34" s="107">
        <f>'BSL-SN'!C38</f>
      </c>
      <c r="C34" s="107">
        <f>'BWA-SN'!C38</f>
      </c>
      <c r="D34" s="107">
        <f>'RFA-SN'!C38</f>
      </c>
      <c r="P34" s="104" t="s">
        <v>43</v>
      </c>
      <c r="Q34" s="103">
        <f>'BSL-SN'!G38</f>
      </c>
      <c r="R34" s="103">
        <f>'BWA-SN'!G38</f>
      </c>
      <c r="S34" s="103">
        <f>'RFA-SN'!G38</f>
      </c>
      <c r="AE34" s="104" t="s">
        <v>43</v>
      </c>
      <c r="AF34" s="103">
        <f>'BSL-SN'!K38</f>
      </c>
      <c r="AG34" s="103">
        <f>'BWA-SN'!K38</f>
      </c>
      <c r="AH34" s="103">
        <f>'RFA-SN'!K38</f>
      </c>
    </row>
    <row r="35" spans="1:34" ht="12.75">
      <c r="A35" s="104" t="s">
        <v>44</v>
      </c>
      <c r="B35" s="107">
        <f>'BSL-SN'!C39</f>
      </c>
      <c r="C35" s="107">
        <f>'BWA-SN'!C39</f>
      </c>
      <c r="D35" s="107">
        <f>'RFA-SN'!C39</f>
      </c>
      <c r="P35" s="104" t="s">
        <v>44</v>
      </c>
      <c r="Q35" s="103">
        <f>'BSL-SN'!G39</f>
      </c>
      <c r="R35" s="103">
        <f>'BWA-SN'!G39</f>
      </c>
      <c r="S35" s="103">
        <f>'RFA-SN'!G39</f>
      </c>
      <c r="AE35" s="104" t="s">
        <v>44</v>
      </c>
      <c r="AF35" s="103">
        <f>'BSL-SN'!K39</f>
      </c>
      <c r="AG35" s="103">
        <f>'BWA-SN'!K39</f>
      </c>
      <c r="AH35" s="103">
        <f>'RFA-SN'!K39</f>
      </c>
    </row>
    <row r="36" spans="1:34" ht="12.75">
      <c r="A36" s="104" t="s">
        <v>45</v>
      </c>
      <c r="B36" s="107">
        <f>'BSL-SN'!C40</f>
      </c>
      <c r="C36" s="107">
        <f>'BWA-SN'!C40</f>
      </c>
      <c r="D36" s="107">
        <f>'RFA-SN'!C40</f>
      </c>
      <c r="P36" s="104" t="s">
        <v>45</v>
      </c>
      <c r="Q36" s="103">
        <f>'BSL-SN'!G40</f>
      </c>
      <c r="R36" s="103">
        <f>'BWA-SN'!G40</f>
      </c>
      <c r="S36" s="103">
        <f>'RFA-SN'!G40</f>
      </c>
      <c r="AE36" s="104" t="s">
        <v>45</v>
      </c>
      <c r="AF36" s="103">
        <f>'BSL-SN'!K40</f>
      </c>
      <c r="AG36" s="103">
        <f>'BWA-SN'!K40</f>
      </c>
      <c r="AH36" s="103">
        <f>'RFA-SN'!K40</f>
      </c>
    </row>
    <row r="37" spans="1:34" ht="12.75">
      <c r="A37" s="104" t="s">
        <v>46</v>
      </c>
      <c r="B37" s="107">
        <f>'BSL-SN'!C41</f>
      </c>
      <c r="C37" s="107">
        <f>'BWA-SN'!C41</f>
      </c>
      <c r="D37" s="107">
        <f>'RFA-SN'!C41</f>
      </c>
      <c r="P37" s="104" t="s">
        <v>46</v>
      </c>
      <c r="Q37" s="103">
        <f>'BSL-SN'!G41</f>
      </c>
      <c r="R37" s="103">
        <f>'BWA-SN'!G41</f>
      </c>
      <c r="S37" s="103">
        <f>'RFA-SN'!G41</f>
      </c>
      <c r="AE37" s="104" t="s">
        <v>46</v>
      </c>
      <c r="AF37" s="103">
        <f>'BSL-SN'!K41</f>
      </c>
      <c r="AG37" s="103">
        <f>'BWA-SN'!K41</f>
      </c>
      <c r="AH37" s="103">
        <f>'RFA-SN'!K41</f>
      </c>
    </row>
    <row r="38" spans="1:34" ht="12.75">
      <c r="A38" s="104" t="s">
        <v>47</v>
      </c>
      <c r="B38" s="107">
        <f>'BSL-SN'!C42</f>
      </c>
      <c r="C38" s="107">
        <f>'BWA-SN'!C42</f>
      </c>
      <c r="D38" s="107">
        <f>'RFA-SN'!C42</f>
      </c>
      <c r="P38" s="104" t="s">
        <v>47</v>
      </c>
      <c r="Q38" s="103">
        <f>'BSL-SN'!G42</f>
      </c>
      <c r="R38" s="103">
        <f>'BWA-SN'!G42</f>
      </c>
      <c r="S38" s="103">
        <f>'RFA-SN'!G42</f>
      </c>
      <c r="AE38" s="104" t="s">
        <v>47</v>
      </c>
      <c r="AF38" s="103">
        <f>'BSL-SN'!K42</f>
      </c>
      <c r="AG38" s="103">
        <f>'BWA-SN'!K42</f>
      </c>
      <c r="AH38" s="103">
        <f>'RFA-SN'!K42</f>
      </c>
    </row>
    <row r="39" spans="4:33" ht="12.75">
      <c r="D39" s="106"/>
      <c r="P39" s="106"/>
      <c r="Q39" s="106"/>
      <c r="R39" s="106"/>
      <c r="S39" s="106"/>
      <c r="AG39" s="106"/>
    </row>
    <row r="40" spans="1:32" ht="12.75">
      <c r="A40" s="105" t="s">
        <v>48</v>
      </c>
      <c r="B40" s="105" t="s">
        <v>49</v>
      </c>
      <c r="P40" s="105" t="s">
        <v>1</v>
      </c>
      <c r="Q40" s="105" t="s">
        <v>49</v>
      </c>
      <c r="R40" s="106"/>
      <c r="S40" s="106"/>
      <c r="AE40" s="105" t="s">
        <v>2</v>
      </c>
      <c r="AF40" s="105" t="s">
        <v>49</v>
      </c>
    </row>
    <row r="41" spans="18:32" ht="12.75">
      <c r="R41" s="106"/>
      <c r="S41" s="106"/>
      <c r="AE41" s="105"/>
      <c r="AF41" s="105"/>
    </row>
    <row r="42" spans="1:2" ht="12.75">
      <c r="A42" s="105"/>
      <c r="B42" s="105"/>
    </row>
    <row r="56" ht="12.75">
      <c r="P56">
        <v>25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6" t="s">
        <v>18</v>
      </c>
      <c r="B2" s="137" t="s">
        <v>53</v>
      </c>
      <c r="C2" s="137"/>
      <c r="D2" s="137"/>
      <c r="E2" s="137"/>
      <c r="Q2" s="92"/>
    </row>
    <row r="3" spans="1:17" ht="13.5" customHeight="1">
      <c r="A3" s="1"/>
      <c r="B3" s="128" t="s">
        <v>20</v>
      </c>
      <c r="C3" s="128"/>
      <c r="D3" s="138" t="s">
        <v>25</v>
      </c>
      <c r="E3" s="138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5"/>
      <c r="D6" s="135"/>
      <c r="E6" s="135"/>
      <c r="F6" s="9" t="s">
        <v>32</v>
      </c>
    </row>
    <row r="7" spans="2:6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256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552</v>
      </c>
      <c r="C11" s="31">
        <v>462</v>
      </c>
      <c r="D11" s="21">
        <f>IF(OR(C11="",B11=0),"",C11-B11)</f>
        <v>-90</v>
      </c>
      <c r="E11" s="68">
        <f aca="true" t="shared" si="0" ref="E11:E22">IF(D11="","",D11/B11)</f>
        <v>-0.16304347826086957</v>
      </c>
      <c r="F11" s="38">
        <v>200</v>
      </c>
      <c r="G11" s="31">
        <v>134</v>
      </c>
      <c r="H11" s="21">
        <f>IF(OR(G11="",F11=0),"",G11-F11)</f>
        <v>-66</v>
      </c>
      <c r="I11" s="68">
        <f aca="true" t="shared" si="1" ref="I11:I22">IF(H11="","",H11/F11)</f>
        <v>-0.33</v>
      </c>
      <c r="J11" s="38">
        <v>657</v>
      </c>
      <c r="K11" s="31">
        <v>697</v>
      </c>
      <c r="L11" s="21">
        <f>IF(OR(K11="",J11=0),"",K11-J11)</f>
        <v>40</v>
      </c>
      <c r="M11" s="68">
        <f aca="true" t="shared" si="2" ref="M11:M22">IF(L11="","",L11/J11)</f>
        <v>0.060882800608828</v>
      </c>
      <c r="N11" s="38">
        <f aca="true" t="shared" si="3" ref="N11:N22">SUM(B11,F11,J11)</f>
        <v>1409</v>
      </c>
      <c r="O11" s="34">
        <f aca="true" t="shared" si="4" ref="O11:O22">IF(C11="","",SUM(C11,G11,K11))</f>
        <v>1293</v>
      </c>
      <c r="P11" s="21">
        <f>IF(OR(O11="",N11=0),"",O11-N11)</f>
        <v>-116</v>
      </c>
      <c r="Q11" s="68">
        <f aca="true" t="shared" si="5" ref="Q11:Q22">IF(P11="","",P11/N11)</f>
        <v>-0.0823278921220724</v>
      </c>
    </row>
    <row r="12" spans="1:17" ht="11.25" customHeight="1">
      <c r="A12" s="20" t="s">
        <v>7</v>
      </c>
      <c r="B12" s="38">
        <v>594</v>
      </c>
      <c r="C12" s="31">
        <v>529</v>
      </c>
      <c r="D12" s="21">
        <f aca="true" t="shared" si="6" ref="D12:D22">IF(OR(C12="",B12=0),"",C12-B12)</f>
        <v>-65</v>
      </c>
      <c r="E12" s="68">
        <f t="shared" si="0"/>
        <v>-0.10942760942760943</v>
      </c>
      <c r="F12" s="38">
        <v>193</v>
      </c>
      <c r="G12" s="31">
        <v>187</v>
      </c>
      <c r="H12" s="21">
        <f aca="true" t="shared" si="7" ref="H12:H22">IF(OR(G12="",F12=0),"",G12-F12)</f>
        <v>-6</v>
      </c>
      <c r="I12" s="68">
        <f t="shared" si="1"/>
        <v>-0.031088082901554404</v>
      </c>
      <c r="J12" s="38">
        <v>933</v>
      </c>
      <c r="K12" s="31">
        <v>977</v>
      </c>
      <c r="L12" s="21">
        <f aca="true" t="shared" si="8" ref="L12:L22">IF(OR(K12="",J12=0),"",K12-J12)</f>
        <v>44</v>
      </c>
      <c r="M12" s="68">
        <f t="shared" si="2"/>
        <v>0.04715969989281887</v>
      </c>
      <c r="N12" s="38">
        <f t="shared" si="3"/>
        <v>1720</v>
      </c>
      <c r="O12" s="34">
        <f t="shared" si="4"/>
        <v>1693</v>
      </c>
      <c r="P12" s="21">
        <f aca="true" t="shared" si="9" ref="P12:P22">IF(OR(O12="",N12=0),"",O12-N12)</f>
        <v>-27</v>
      </c>
      <c r="Q12" s="68">
        <f t="shared" si="5"/>
        <v>-0.015697674418604653</v>
      </c>
    </row>
    <row r="13" spans="1:17" ht="11.25" customHeight="1">
      <c r="A13" s="27" t="s">
        <v>8</v>
      </c>
      <c r="B13" s="40">
        <v>623</v>
      </c>
      <c r="C13" s="32">
        <v>655</v>
      </c>
      <c r="D13" s="22">
        <f t="shared" si="6"/>
        <v>32</v>
      </c>
      <c r="E13" s="69">
        <f t="shared" si="0"/>
        <v>0.051364365971107544</v>
      </c>
      <c r="F13" s="40">
        <v>200</v>
      </c>
      <c r="G13" s="32">
        <v>224</v>
      </c>
      <c r="H13" s="22">
        <f t="shared" si="7"/>
        <v>24</v>
      </c>
      <c r="I13" s="69">
        <f t="shared" si="1"/>
        <v>0.12</v>
      </c>
      <c r="J13" s="40">
        <v>1086</v>
      </c>
      <c r="K13" s="32">
        <v>1041</v>
      </c>
      <c r="L13" s="22">
        <f t="shared" si="8"/>
        <v>-45</v>
      </c>
      <c r="M13" s="69">
        <f t="shared" si="2"/>
        <v>-0.04143646408839779</v>
      </c>
      <c r="N13" s="40">
        <f t="shared" si="3"/>
        <v>1909</v>
      </c>
      <c r="O13" s="35">
        <f t="shared" si="4"/>
        <v>1920</v>
      </c>
      <c r="P13" s="22">
        <f t="shared" si="9"/>
        <v>11</v>
      </c>
      <c r="Q13" s="69">
        <f t="shared" si="5"/>
        <v>0.005762179151388162</v>
      </c>
    </row>
    <row r="14" spans="1:17" ht="11.25" customHeight="1">
      <c r="A14" s="20" t="s">
        <v>9</v>
      </c>
      <c r="B14" s="38">
        <v>604</v>
      </c>
      <c r="C14" s="31"/>
      <c r="D14" s="21">
        <f t="shared" si="6"/>
      </c>
      <c r="E14" s="68">
        <f t="shared" si="0"/>
      </c>
      <c r="F14" s="38">
        <v>194</v>
      </c>
      <c r="G14" s="31"/>
      <c r="H14" s="21">
        <f t="shared" si="7"/>
      </c>
      <c r="I14" s="68">
        <f t="shared" si="1"/>
      </c>
      <c r="J14" s="38">
        <v>1166</v>
      </c>
      <c r="K14" s="31"/>
      <c r="L14" s="21">
        <f t="shared" si="8"/>
      </c>
      <c r="M14" s="68">
        <f t="shared" si="2"/>
      </c>
      <c r="N14" s="38">
        <f t="shared" si="3"/>
        <v>1964</v>
      </c>
      <c r="O14" s="34">
        <f t="shared" si="4"/>
      </c>
      <c r="P14" s="21">
        <f t="shared" si="9"/>
      </c>
      <c r="Q14" s="68">
        <f t="shared" si="5"/>
      </c>
    </row>
    <row r="15" spans="1:17" ht="11.25" customHeight="1">
      <c r="A15" s="20" t="s">
        <v>10</v>
      </c>
      <c r="B15" s="38">
        <v>791</v>
      </c>
      <c r="C15" s="31"/>
      <c r="D15" s="21">
        <f t="shared" si="6"/>
      </c>
      <c r="E15" s="68">
        <f t="shared" si="0"/>
      </c>
      <c r="F15" s="38">
        <v>177</v>
      </c>
      <c r="G15" s="31"/>
      <c r="H15" s="21">
        <f t="shared" si="7"/>
      </c>
      <c r="I15" s="68">
        <f t="shared" si="1"/>
      </c>
      <c r="J15" s="38">
        <v>858</v>
      </c>
      <c r="K15" s="31"/>
      <c r="L15" s="21">
        <f t="shared" si="8"/>
      </c>
      <c r="M15" s="68">
        <f t="shared" si="2"/>
      </c>
      <c r="N15" s="38">
        <f t="shared" si="3"/>
        <v>1826</v>
      </c>
      <c r="O15" s="34">
        <f t="shared" si="4"/>
      </c>
      <c r="P15" s="21">
        <f t="shared" si="9"/>
      </c>
      <c r="Q15" s="68">
        <f t="shared" si="5"/>
      </c>
    </row>
    <row r="16" spans="1:17" ht="11.25" customHeight="1">
      <c r="A16" s="27" t="s">
        <v>11</v>
      </c>
      <c r="B16" s="40">
        <v>598</v>
      </c>
      <c r="C16" s="32"/>
      <c r="D16" s="22">
        <f t="shared" si="6"/>
      </c>
      <c r="E16" s="69">
        <f t="shared" si="0"/>
      </c>
      <c r="F16" s="40">
        <v>187</v>
      </c>
      <c r="G16" s="32"/>
      <c r="H16" s="22">
        <f t="shared" si="7"/>
      </c>
      <c r="I16" s="69">
        <f t="shared" si="1"/>
      </c>
      <c r="J16" s="40">
        <v>1043</v>
      </c>
      <c r="K16" s="32"/>
      <c r="L16" s="22">
        <f t="shared" si="8"/>
      </c>
      <c r="M16" s="69">
        <f t="shared" si="2"/>
      </c>
      <c r="N16" s="40">
        <f t="shared" si="3"/>
        <v>1828</v>
      </c>
      <c r="O16" s="35">
        <f t="shared" si="4"/>
      </c>
      <c r="P16" s="22">
        <f t="shared" si="9"/>
      </c>
      <c r="Q16" s="69">
        <f t="shared" si="5"/>
      </c>
    </row>
    <row r="17" spans="1:17" ht="11.25" customHeight="1">
      <c r="A17" s="20" t="s">
        <v>12</v>
      </c>
      <c r="B17" s="38">
        <v>548</v>
      </c>
      <c r="C17" s="31"/>
      <c r="D17" s="21">
        <f t="shared" si="6"/>
      </c>
      <c r="E17" s="68">
        <f t="shared" si="0"/>
      </c>
      <c r="F17" s="38">
        <v>221</v>
      </c>
      <c r="G17" s="31"/>
      <c r="H17" s="21">
        <f t="shared" si="7"/>
      </c>
      <c r="I17" s="68">
        <f t="shared" si="1"/>
      </c>
      <c r="J17" s="38">
        <v>643</v>
      </c>
      <c r="K17" s="31"/>
      <c r="L17" s="21">
        <f t="shared" si="8"/>
      </c>
      <c r="M17" s="68">
        <f t="shared" si="2"/>
      </c>
      <c r="N17" s="38">
        <f t="shared" si="3"/>
        <v>1412</v>
      </c>
      <c r="O17" s="34">
        <f t="shared" si="4"/>
      </c>
      <c r="P17" s="21">
        <f t="shared" si="9"/>
      </c>
      <c r="Q17" s="68">
        <f t="shared" si="5"/>
      </c>
    </row>
    <row r="18" spans="1:17" ht="11.25" customHeight="1">
      <c r="A18" s="20" t="s">
        <v>13</v>
      </c>
      <c r="B18" s="38">
        <v>351</v>
      </c>
      <c r="C18" s="31"/>
      <c r="D18" s="21">
        <f t="shared" si="6"/>
      </c>
      <c r="E18" s="68">
        <f t="shared" si="0"/>
      </c>
      <c r="F18" s="38">
        <v>149</v>
      </c>
      <c r="G18" s="31"/>
      <c r="H18" s="21">
        <f t="shared" si="7"/>
      </c>
      <c r="I18" s="68">
        <f t="shared" si="1"/>
      </c>
      <c r="J18" s="38">
        <v>731</v>
      </c>
      <c r="K18" s="31"/>
      <c r="L18" s="21">
        <f t="shared" si="8"/>
      </c>
      <c r="M18" s="68">
        <f t="shared" si="2"/>
      </c>
      <c r="N18" s="38">
        <f t="shared" si="3"/>
        <v>1231</v>
      </c>
      <c r="O18" s="34">
        <f t="shared" si="4"/>
      </c>
      <c r="P18" s="21">
        <f t="shared" si="9"/>
      </c>
      <c r="Q18" s="68">
        <f t="shared" si="5"/>
      </c>
    </row>
    <row r="19" spans="1:17" ht="11.25" customHeight="1">
      <c r="A19" s="27" t="s">
        <v>14</v>
      </c>
      <c r="B19" s="40">
        <v>642</v>
      </c>
      <c r="C19" s="32"/>
      <c r="D19" s="22">
        <f t="shared" si="6"/>
      </c>
      <c r="E19" s="69">
        <f t="shared" si="0"/>
      </c>
      <c r="F19" s="40">
        <v>232</v>
      </c>
      <c r="G19" s="32"/>
      <c r="H19" s="22">
        <f t="shared" si="7"/>
      </c>
      <c r="I19" s="69">
        <f t="shared" si="1"/>
      </c>
      <c r="J19" s="40">
        <v>920</v>
      </c>
      <c r="K19" s="32"/>
      <c r="L19" s="22">
        <f t="shared" si="8"/>
      </c>
      <c r="M19" s="69">
        <f t="shared" si="2"/>
      </c>
      <c r="N19" s="40">
        <f t="shared" si="3"/>
        <v>1794</v>
      </c>
      <c r="O19" s="35">
        <f t="shared" si="4"/>
      </c>
      <c r="P19" s="22">
        <f t="shared" si="9"/>
      </c>
      <c r="Q19" s="69">
        <f t="shared" si="5"/>
      </c>
    </row>
    <row r="20" spans="1:17" ht="11.25" customHeight="1">
      <c r="A20" s="20" t="s">
        <v>15</v>
      </c>
      <c r="B20" s="38">
        <v>614</v>
      </c>
      <c r="C20" s="31"/>
      <c r="D20" s="21">
        <f t="shared" si="6"/>
      </c>
      <c r="E20" s="68">
        <f t="shared" si="0"/>
      </c>
      <c r="F20" s="38">
        <v>227</v>
      </c>
      <c r="G20" s="31"/>
      <c r="H20" s="21">
        <f t="shared" si="7"/>
      </c>
      <c r="I20" s="68">
        <f t="shared" si="1"/>
      </c>
      <c r="J20" s="38">
        <v>910</v>
      </c>
      <c r="K20" s="31"/>
      <c r="L20" s="21">
        <f t="shared" si="8"/>
      </c>
      <c r="M20" s="68">
        <f t="shared" si="2"/>
      </c>
      <c r="N20" s="38">
        <f t="shared" si="3"/>
        <v>1751</v>
      </c>
      <c r="O20" s="34">
        <f t="shared" si="4"/>
      </c>
      <c r="P20" s="21">
        <f t="shared" si="9"/>
      </c>
      <c r="Q20" s="68">
        <f t="shared" si="5"/>
      </c>
    </row>
    <row r="21" spans="1:17" ht="11.25" customHeight="1">
      <c r="A21" s="20" t="s">
        <v>16</v>
      </c>
      <c r="B21" s="38">
        <v>578</v>
      </c>
      <c r="C21" s="31"/>
      <c r="D21" s="21">
        <f t="shared" si="6"/>
      </c>
      <c r="E21" s="68">
        <f t="shared" si="0"/>
      </c>
      <c r="F21" s="38">
        <v>233</v>
      </c>
      <c r="G21" s="31"/>
      <c r="H21" s="21">
        <f t="shared" si="7"/>
      </c>
      <c r="I21" s="68">
        <f t="shared" si="1"/>
      </c>
      <c r="J21" s="38">
        <v>915</v>
      </c>
      <c r="K21" s="31"/>
      <c r="L21" s="21">
        <f t="shared" si="8"/>
      </c>
      <c r="M21" s="68">
        <f t="shared" si="2"/>
      </c>
      <c r="N21" s="38">
        <f t="shared" si="3"/>
        <v>1726</v>
      </c>
      <c r="O21" s="34">
        <f t="shared" si="4"/>
      </c>
      <c r="P21" s="21">
        <f t="shared" si="9"/>
      </c>
      <c r="Q21" s="68">
        <f t="shared" si="5"/>
      </c>
    </row>
    <row r="22" spans="1:17" ht="11.25" customHeight="1" thickBot="1">
      <c r="A22" s="23" t="s">
        <v>17</v>
      </c>
      <c r="B22" s="39">
        <v>524</v>
      </c>
      <c r="C22" s="33"/>
      <c r="D22" s="21">
        <f t="shared" si="6"/>
      </c>
      <c r="E22" s="54">
        <f t="shared" si="0"/>
      </c>
      <c r="F22" s="39">
        <v>184</v>
      </c>
      <c r="G22" s="33"/>
      <c r="H22" s="21">
        <f t="shared" si="7"/>
      </c>
      <c r="I22" s="54">
        <f t="shared" si="1"/>
      </c>
      <c r="J22" s="39">
        <v>720</v>
      </c>
      <c r="K22" s="33"/>
      <c r="L22" s="21">
        <f t="shared" si="8"/>
      </c>
      <c r="M22" s="54">
        <f t="shared" si="2"/>
      </c>
      <c r="N22" s="39">
        <f t="shared" si="3"/>
        <v>1428</v>
      </c>
      <c r="O22" s="36">
        <f t="shared" si="4"/>
      </c>
      <c r="P22" s="21">
        <f t="shared" si="9"/>
      </c>
      <c r="Q22" s="54">
        <f t="shared" si="5"/>
      </c>
    </row>
    <row r="23" spans="1:17" ht="11.25" customHeight="1" thickBot="1">
      <c r="A23" s="44" t="s">
        <v>3</v>
      </c>
      <c r="B23" s="41">
        <f>IF(C17="",B24,B25)</f>
        <v>1769</v>
      </c>
      <c r="C23" s="42">
        <f>IF(C11="","",SUM(C11:C22))</f>
        <v>1646</v>
      </c>
      <c r="D23" s="43">
        <f>IF(C11="","",SUM(D11:D22))</f>
        <v>-123</v>
      </c>
      <c r="E23" s="61">
        <f>IF(OR(D23="",D23=0),"",D23/B23)</f>
        <v>-0.06953080836630865</v>
      </c>
      <c r="F23" s="41">
        <f>IF(G17="",F24,F25)</f>
        <v>593</v>
      </c>
      <c r="G23" s="42">
        <f>IF(G11="","",SUM(G11:G22))</f>
        <v>545</v>
      </c>
      <c r="H23" s="43">
        <f>IF(G11="","",SUM(H11:H22))</f>
        <v>-48</v>
      </c>
      <c r="I23" s="61">
        <f>IF(OR(H23="",H23=0),"",H23/F23)</f>
        <v>-0.08094435075885328</v>
      </c>
      <c r="J23" s="41">
        <f>IF(K17="",J24,J25)</f>
        <v>2676</v>
      </c>
      <c r="K23" s="42">
        <f>IF(K11="","",SUM(K11:K22))</f>
        <v>2715</v>
      </c>
      <c r="L23" s="43">
        <f>IF(K11="","",SUM(L11:L22))</f>
        <v>39</v>
      </c>
      <c r="M23" s="61">
        <f>IF(OR(L23="",L23=0),"",L23/J23)</f>
        <v>0.014573991031390135</v>
      </c>
      <c r="N23" s="41">
        <f>IF(O17="",N24,N25)</f>
        <v>5038</v>
      </c>
      <c r="O23" s="42">
        <f>IF(O11="","",SUM(O11:O22))</f>
        <v>4906</v>
      </c>
      <c r="P23" s="43">
        <f>IF(O11="","",SUM(P11:P22))</f>
        <v>-132</v>
      </c>
      <c r="Q23" s="61">
        <f>IF(OR(P23="",P23=0),"",P23/N23)</f>
        <v>-0.026200873362445413</v>
      </c>
    </row>
    <row r="24" spans="1:17" ht="11.25" customHeight="1">
      <c r="A24" s="85" t="s">
        <v>28</v>
      </c>
      <c r="B24" s="90">
        <f>IF(C16&lt;&gt;"",SUM(B11:B16),IF(C15&lt;&gt;"",SUM(B11:B15),IF(C14&lt;&gt;"",SUM(B11:B14),IF(C13&lt;&gt;"",SUM(B11:B13),IF(C12&lt;&gt;"",SUM(B11:B12),B11)))))</f>
        <v>1769</v>
      </c>
      <c r="C24" s="56">
        <f>COUNTIF(C11:C22,"&gt;0")</f>
        <v>3</v>
      </c>
      <c r="D24" s="56"/>
      <c r="E24" s="57"/>
      <c r="F24" s="90">
        <f>IF(G16&lt;&gt;"",SUM(F11:F16),IF(G15&lt;&gt;"",SUM(F11:F15),IF(G14&lt;&gt;"",SUM(F11:F14),IF(G13&lt;&gt;"",SUM(F11:F13),IF(G12&lt;&gt;"",SUM(F11:F12),F11)))))</f>
        <v>593</v>
      </c>
      <c r="G24" s="56">
        <f>COUNTIF(G11:G22,"&gt;0")</f>
        <v>3</v>
      </c>
      <c r="H24" s="56"/>
      <c r="I24" s="57"/>
      <c r="J24" s="90">
        <f>IF(K16&lt;&gt;"",SUM(J11:J16),IF(K15&lt;&gt;"",SUM(J11:J15),IF(K14&lt;&gt;"",SUM(J11:J14),IF(K13&lt;&gt;"",SUM(J11:J13),IF(K12&lt;&gt;"",SUM(J11:J12),J11)))))</f>
        <v>2676</v>
      </c>
      <c r="K24" s="56">
        <f>COUNTIF(K11:K22,"&gt;0")</f>
        <v>3</v>
      </c>
      <c r="L24" s="56"/>
      <c r="M24" s="57"/>
      <c r="N24" s="90">
        <f>IF(O16&lt;&gt;"",SUM(N11:N16),IF(O15&lt;&gt;"",SUM(N11:N15),IF(O14&lt;&gt;"",SUM(N11:N14),IF(O13&lt;&gt;"",SUM(N11:N13),IF(O12&lt;&gt;"",SUM(N11:N12),N11)))))</f>
        <v>5038</v>
      </c>
      <c r="O24" s="56">
        <f>COUNTIF(O11:O22,"&gt;0")</f>
        <v>3</v>
      </c>
      <c r="P24" s="56"/>
      <c r="Q24" s="57"/>
    </row>
    <row r="25" spans="2:14" ht="11.25" customHeight="1">
      <c r="B25" s="88">
        <f>IF(C22&lt;&gt;"",SUM(B11:B22),IF(C21&lt;&gt;"",SUM(B11:B21),IF(C20&lt;&gt;"",SUM(B11:B20),IF(C19&lt;&gt;"",SUM(B11:B19),IF(C18&lt;&gt;"",SUM(B11:B18),SUM(B11:B17))))))</f>
        <v>4310</v>
      </c>
      <c r="F25" s="88">
        <f>IF(G22&lt;&gt;"",SUM(F11:F22),IF(G21&lt;&gt;"",SUM(F11:F21),IF(G20&lt;&gt;"",SUM(F11:F20),IF(G19&lt;&gt;"",SUM(F11:F19),IF(G18&lt;&gt;"",SUM(F11:F18),SUM(F11:F17))))))</f>
        <v>1372</v>
      </c>
      <c r="J25" s="88">
        <f>IF(K22&lt;&gt;"",SUM(J11:J22),IF(K21&lt;&gt;"",SUM(J11:J21),IF(K20&lt;&gt;"",SUM(J11:J20),IF(K19&lt;&gt;"",SUM(J11:J19),IF(K18&lt;&gt;"",SUM(J11:J18),SUM(J11:J17))))))</f>
        <v>6386</v>
      </c>
      <c r="N25" s="88">
        <f>IF(O22&lt;&gt;"",SUM(N11:N22),IF(O21&lt;&gt;"",SUM(N11:N21),IF(O20&lt;&gt;"",SUM(N11:N20),IF(O19&lt;&gt;"",SUM(N11:N19),IF(O18&lt;&gt;"",SUM(N11:N18),SUM(N11:N17))))))</f>
        <v>12068</v>
      </c>
    </row>
    <row r="26" spans="1:6" ht="11.25" customHeight="1">
      <c r="A26" s="7"/>
      <c r="B26" s="132" t="s">
        <v>22</v>
      </c>
      <c r="C26" s="135"/>
      <c r="D26" s="135"/>
      <c r="E26" s="135"/>
      <c r="F26" s="9" t="s">
        <v>31</v>
      </c>
    </row>
    <row r="27" spans="2:6" ht="11.25" customHeight="1" thickBot="1">
      <c r="B27" s="136"/>
      <c r="C27" s="136"/>
      <c r="D27" s="136"/>
      <c r="E27" s="136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63</v>
      </c>
      <c r="C30" s="12">
        <f>U43</f>
        <v>64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 aca="true" t="shared" si="10" ref="B31:B42">IF(C11="","",B11/$R31)</f>
        <v>27.6</v>
      </c>
      <c r="C31" s="78">
        <f aca="true" t="shared" si="11" ref="C31:C42">IF(C11="","",C11/$S31)</f>
        <v>22</v>
      </c>
      <c r="D31" s="74">
        <f>IF(OR(C31="",B31=0),"",C31-B31)</f>
        <v>-5.600000000000001</v>
      </c>
      <c r="E31" s="70">
        <f>IF(D31="","",(C31-B31)/ABS(B31))</f>
        <v>-0.20289855072463772</v>
      </c>
      <c r="F31" s="75">
        <f aca="true" t="shared" si="12" ref="F31:F42">IF(G11="","",F11/$R31)</f>
        <v>10</v>
      </c>
      <c r="G31" s="78">
        <f aca="true" t="shared" si="13" ref="G31:G42">IF(G11="","",G11/$S31)</f>
        <v>6.380952380952381</v>
      </c>
      <c r="H31" s="93">
        <f>IF(OR(G31="",F31=0),"",G31-F31)</f>
        <v>-3.6190476190476186</v>
      </c>
      <c r="I31" s="70">
        <f>IF(H31="","",(G31-F31)/ABS(F31))</f>
        <v>-0.36190476190476184</v>
      </c>
      <c r="J31" s="75">
        <f aca="true" t="shared" si="14" ref="J31:J42">IF(K11="","",J11/$R31)</f>
        <v>32.85</v>
      </c>
      <c r="K31" s="78">
        <f aca="true" t="shared" si="15" ref="K31:K42">IF(K11="","",K11/$S31)</f>
        <v>33.19047619047619</v>
      </c>
      <c r="L31" s="93">
        <f>IF(OR(K31="",J31=0),"",K31-J31)</f>
        <v>0.3404761904761884</v>
      </c>
      <c r="M31" s="70">
        <f>IF(L31="","",(K31-J31)/ABS(J31))</f>
        <v>0.01036457200840756</v>
      </c>
      <c r="N31" s="75">
        <f aca="true" t="shared" si="16" ref="N31:N42">IF(O11="","",N11/$R31)</f>
        <v>70.45</v>
      </c>
      <c r="O31" s="78">
        <f aca="true" t="shared" si="17" ref="O31:O42">IF(O11="","",O11/$S31)</f>
        <v>61.57142857142857</v>
      </c>
      <c r="P31" s="93">
        <f>IF(OR(O31="",N31=0),"",O31-N31)</f>
        <v>-8.878571428571433</v>
      </c>
      <c r="Q31" s="68">
        <f>IF(P31="","",(O31-N31)/ABS(N31))</f>
        <v>-0.1260265639257833</v>
      </c>
      <c r="R31" s="65">
        <v>20</v>
      </c>
      <c r="S31" s="65">
        <v>21</v>
      </c>
      <c r="T31" s="89">
        <f>IF(OR(N31="",N31=0),"",R31)</f>
        <v>20</v>
      </c>
      <c r="U31" s="89">
        <f>IF(OR(O31="",O31=0),"",S31)</f>
        <v>21</v>
      </c>
    </row>
    <row r="32" spans="1:21" ht="11.25" customHeight="1">
      <c r="A32" s="20" t="s">
        <v>7</v>
      </c>
      <c r="B32" s="75">
        <f t="shared" si="10"/>
        <v>29.7</v>
      </c>
      <c r="C32" s="78">
        <f t="shared" si="11"/>
        <v>26.45</v>
      </c>
      <c r="D32" s="74">
        <f aca="true" t="shared" si="18" ref="D32:D42">IF(OR(C32="",B32=0),"",C32-B32)</f>
        <v>-3.25</v>
      </c>
      <c r="E32" s="70">
        <f aca="true" t="shared" si="19" ref="E32:E42">IF(D32="","",(C32-B32)/ABS(B32))</f>
        <v>-0.10942760942760943</v>
      </c>
      <c r="F32" s="75">
        <f t="shared" si="12"/>
        <v>9.65</v>
      </c>
      <c r="G32" s="78">
        <f t="shared" si="13"/>
        <v>9.35</v>
      </c>
      <c r="H32" s="93">
        <f aca="true" t="shared" si="20" ref="H32:H42">IF(OR(G32="",F32=0),"",G32-F32)</f>
        <v>-0.3000000000000007</v>
      </c>
      <c r="I32" s="70">
        <f aca="true" t="shared" si="21" ref="I32:I42">IF(H32="","",(G32-F32)/ABS(F32))</f>
        <v>-0.031088082901554476</v>
      </c>
      <c r="J32" s="75">
        <f t="shared" si="14"/>
        <v>46.65</v>
      </c>
      <c r="K32" s="78">
        <f t="shared" si="15"/>
        <v>48.85</v>
      </c>
      <c r="L32" s="93">
        <f aca="true" t="shared" si="22" ref="L32:L42">IF(OR(K32="",J32=0),"",K32-J32)</f>
        <v>2.200000000000003</v>
      </c>
      <c r="M32" s="70">
        <f aca="true" t="shared" si="23" ref="M32:M42">IF(L32="","",(K32-J32)/ABS(J32))</f>
        <v>0.04715969989281893</v>
      </c>
      <c r="N32" s="75">
        <f t="shared" si="16"/>
        <v>86</v>
      </c>
      <c r="O32" s="78">
        <f t="shared" si="17"/>
        <v>84.65</v>
      </c>
      <c r="P32" s="93">
        <f aca="true" t="shared" si="24" ref="P32:P42">IF(OR(O32="",N32=0),"",O32-N32)</f>
        <v>-1.3499999999999943</v>
      </c>
      <c r="Q32" s="68">
        <f aca="true" t="shared" si="25" ref="Q32:Q42">IF(P32="","",(O32-N32)/ABS(N32))</f>
        <v>-0.015697674418604587</v>
      </c>
      <c r="R32" s="65"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46" t="s">
        <v>8</v>
      </c>
      <c r="B33" s="76">
        <f t="shared" si="10"/>
        <v>27.08695652173913</v>
      </c>
      <c r="C33" s="79">
        <f t="shared" si="11"/>
        <v>28.47826086956522</v>
      </c>
      <c r="D33" s="81">
        <f t="shared" si="18"/>
        <v>1.3913043478260896</v>
      </c>
      <c r="E33" s="71">
        <f t="shared" si="19"/>
        <v>0.05136436597110764</v>
      </c>
      <c r="F33" s="76">
        <f t="shared" si="12"/>
        <v>8.695652173913043</v>
      </c>
      <c r="G33" s="79">
        <f t="shared" si="13"/>
        <v>9.73913043478261</v>
      </c>
      <c r="H33" s="94">
        <f t="shared" si="20"/>
        <v>1.0434782608695663</v>
      </c>
      <c r="I33" s="71">
        <f t="shared" si="21"/>
        <v>0.12000000000000013</v>
      </c>
      <c r="J33" s="76">
        <f t="shared" si="14"/>
        <v>47.21739130434783</v>
      </c>
      <c r="K33" s="79">
        <f t="shared" si="15"/>
        <v>45.26086956521739</v>
      </c>
      <c r="L33" s="94">
        <f t="shared" si="22"/>
        <v>-1.9565217391304373</v>
      </c>
      <c r="M33" s="71">
        <f t="shared" si="23"/>
        <v>-0.041436464088397844</v>
      </c>
      <c r="N33" s="76">
        <f t="shared" si="16"/>
        <v>83</v>
      </c>
      <c r="O33" s="79">
        <f t="shared" si="17"/>
        <v>83.47826086956522</v>
      </c>
      <c r="P33" s="94">
        <f t="shared" si="24"/>
        <v>0.4782608695652186</v>
      </c>
      <c r="Q33" s="69">
        <f t="shared" si="25"/>
        <v>0.005762179151388176</v>
      </c>
      <c r="R33" s="98">
        <v>23</v>
      </c>
      <c r="S33" s="98">
        <v>23</v>
      </c>
      <c r="T33" s="89">
        <f t="shared" si="26"/>
        <v>23</v>
      </c>
      <c r="U33" s="89">
        <f t="shared" si="26"/>
        <v>23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8"/>
      </c>
      <c r="E34" s="70">
        <f t="shared" si="19"/>
      </c>
      <c r="F34" s="75">
        <f t="shared" si="12"/>
      </c>
      <c r="G34" s="78">
        <f t="shared" si="13"/>
      </c>
      <c r="H34" s="93">
        <f t="shared" si="20"/>
      </c>
      <c r="I34" s="70">
        <f t="shared" si="21"/>
      </c>
      <c r="J34" s="75">
        <f t="shared" si="14"/>
      </c>
      <c r="K34" s="78">
        <f t="shared" si="15"/>
      </c>
      <c r="L34" s="93">
        <f t="shared" si="22"/>
      </c>
      <c r="M34" s="70">
        <f t="shared" si="23"/>
      </c>
      <c r="N34" s="75">
        <f t="shared" si="16"/>
      </c>
      <c r="O34" s="78">
        <f t="shared" si="17"/>
      </c>
      <c r="P34" s="93">
        <f t="shared" si="24"/>
      </c>
      <c r="Q34" s="68">
        <f t="shared" si="25"/>
      </c>
      <c r="R34" s="65">
        <v>20</v>
      </c>
      <c r="S34" s="65">
        <v>19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8"/>
      </c>
      <c r="E35" s="70">
        <f t="shared" si="19"/>
      </c>
      <c r="F35" s="75">
        <f t="shared" si="12"/>
      </c>
      <c r="G35" s="78">
        <f t="shared" si="13"/>
      </c>
      <c r="H35" s="93">
        <f t="shared" si="20"/>
      </c>
      <c r="I35" s="70">
        <f t="shared" si="21"/>
      </c>
      <c r="J35" s="75">
        <f t="shared" si="14"/>
      </c>
      <c r="K35" s="78">
        <f t="shared" si="15"/>
      </c>
      <c r="L35" s="93">
        <f t="shared" si="22"/>
      </c>
      <c r="M35" s="70">
        <f t="shared" si="23"/>
      </c>
      <c r="N35" s="75">
        <f t="shared" si="16"/>
      </c>
      <c r="O35" s="78">
        <f t="shared" si="17"/>
      </c>
      <c r="P35" s="93">
        <f t="shared" si="24"/>
      </c>
      <c r="Q35" s="68">
        <f t="shared" si="25"/>
      </c>
      <c r="R35" s="65">
        <v>19</v>
      </c>
      <c r="S35" s="65">
        <v>22</v>
      </c>
      <c r="T35" s="89">
        <f t="shared" si="26"/>
      </c>
      <c r="U35" s="89">
        <f t="shared" si="26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8"/>
      </c>
      <c r="E36" s="71">
        <f t="shared" si="19"/>
      </c>
      <c r="F36" s="76">
        <f t="shared" si="12"/>
      </c>
      <c r="G36" s="79">
        <f t="shared" si="13"/>
      </c>
      <c r="H36" s="94">
        <f t="shared" si="20"/>
      </c>
      <c r="I36" s="71">
        <f t="shared" si="21"/>
      </c>
      <c r="J36" s="76">
        <f t="shared" si="14"/>
      </c>
      <c r="K36" s="79">
        <f t="shared" si="15"/>
      </c>
      <c r="L36" s="94">
        <f t="shared" si="22"/>
      </c>
      <c r="M36" s="71">
        <f t="shared" si="23"/>
      </c>
      <c r="N36" s="76">
        <f t="shared" si="16"/>
      </c>
      <c r="O36" s="79">
        <f t="shared" si="17"/>
      </c>
      <c r="P36" s="94">
        <f t="shared" si="24"/>
      </c>
      <c r="Q36" s="69">
        <f t="shared" si="25"/>
      </c>
      <c r="R36" s="98">
        <v>22</v>
      </c>
      <c r="S36" s="98">
        <v>20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8"/>
      </c>
      <c r="E37" s="70">
        <f t="shared" si="19"/>
      </c>
      <c r="F37" s="75">
        <f t="shared" si="12"/>
      </c>
      <c r="G37" s="78">
        <f t="shared" si="13"/>
      </c>
      <c r="H37" s="93">
        <f t="shared" si="20"/>
      </c>
      <c r="I37" s="70">
        <f t="shared" si="21"/>
      </c>
      <c r="J37" s="75">
        <f t="shared" si="14"/>
      </c>
      <c r="K37" s="78">
        <f t="shared" si="15"/>
      </c>
      <c r="L37" s="93">
        <f t="shared" si="22"/>
      </c>
      <c r="M37" s="70">
        <f t="shared" si="23"/>
      </c>
      <c r="N37" s="75">
        <f t="shared" si="16"/>
      </c>
      <c r="O37" s="78">
        <f t="shared" si="17"/>
      </c>
      <c r="P37" s="93">
        <f t="shared" si="24"/>
      </c>
      <c r="Q37" s="68">
        <f t="shared" si="25"/>
      </c>
      <c r="R37" s="65">
        <v>22</v>
      </c>
      <c r="S37" s="65">
        <v>21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8"/>
      </c>
      <c r="E38" s="70">
        <f t="shared" si="19"/>
      </c>
      <c r="F38" s="75">
        <f t="shared" si="12"/>
      </c>
      <c r="G38" s="78">
        <f t="shared" si="13"/>
      </c>
      <c r="H38" s="93">
        <f t="shared" si="20"/>
      </c>
      <c r="I38" s="70">
        <f t="shared" si="21"/>
      </c>
      <c r="J38" s="75">
        <f t="shared" si="14"/>
      </c>
      <c r="K38" s="78">
        <f t="shared" si="15"/>
      </c>
      <c r="L38" s="93">
        <f t="shared" si="22"/>
      </c>
      <c r="M38" s="70">
        <f t="shared" si="23"/>
      </c>
      <c r="N38" s="75">
        <f t="shared" si="16"/>
      </c>
      <c r="O38" s="78">
        <f t="shared" si="17"/>
      </c>
      <c r="P38" s="93">
        <f t="shared" si="24"/>
      </c>
      <c r="Q38" s="68">
        <f t="shared" si="25"/>
      </c>
      <c r="R38" s="65">
        <v>22</v>
      </c>
      <c r="S38" s="65">
        <v>22</v>
      </c>
      <c r="T38" s="89">
        <f t="shared" si="26"/>
      </c>
      <c r="U38" s="89">
        <f t="shared" si="26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8"/>
      </c>
      <c r="E39" s="71">
        <f t="shared" si="19"/>
      </c>
      <c r="F39" s="76">
        <f t="shared" si="12"/>
      </c>
      <c r="G39" s="79">
        <f t="shared" si="13"/>
      </c>
      <c r="H39" s="94">
        <f t="shared" si="20"/>
      </c>
      <c r="I39" s="71">
        <f t="shared" si="21"/>
      </c>
      <c r="J39" s="76">
        <f t="shared" si="14"/>
      </c>
      <c r="K39" s="79">
        <f t="shared" si="15"/>
      </c>
      <c r="L39" s="94">
        <f t="shared" si="22"/>
      </c>
      <c r="M39" s="71">
        <f t="shared" si="23"/>
      </c>
      <c r="N39" s="76">
        <f t="shared" si="16"/>
      </c>
      <c r="O39" s="79">
        <f t="shared" si="17"/>
      </c>
      <c r="P39" s="94">
        <f t="shared" si="24"/>
      </c>
      <c r="Q39" s="69">
        <f t="shared" si="25"/>
      </c>
      <c r="R39" s="98">
        <v>21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8"/>
      </c>
      <c r="E40" s="70">
        <f t="shared" si="19"/>
      </c>
      <c r="F40" s="75">
        <f t="shared" si="12"/>
      </c>
      <c r="G40" s="78">
        <f t="shared" si="13"/>
      </c>
      <c r="H40" s="93">
        <f t="shared" si="20"/>
      </c>
      <c r="I40" s="70">
        <f t="shared" si="21"/>
      </c>
      <c r="J40" s="75">
        <f t="shared" si="14"/>
      </c>
      <c r="K40" s="78">
        <f t="shared" si="15"/>
      </c>
      <c r="L40" s="93">
        <f t="shared" si="22"/>
      </c>
      <c r="M40" s="70">
        <f t="shared" si="23"/>
      </c>
      <c r="N40" s="75">
        <f t="shared" si="16"/>
      </c>
      <c r="O40" s="78">
        <f t="shared" si="17"/>
      </c>
      <c r="P40" s="93">
        <f t="shared" si="24"/>
      </c>
      <c r="Q40" s="68">
        <f t="shared" si="25"/>
      </c>
      <c r="R40" s="65">
        <v>22</v>
      </c>
      <c r="S40" s="65">
        <v>21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8"/>
      </c>
      <c r="E41" s="70">
        <f t="shared" si="19"/>
      </c>
      <c r="F41" s="75">
        <f t="shared" si="12"/>
      </c>
      <c r="G41" s="78">
        <f t="shared" si="13"/>
      </c>
      <c r="H41" s="93">
        <f t="shared" si="20"/>
      </c>
      <c r="I41" s="70">
        <f t="shared" si="21"/>
      </c>
      <c r="J41" s="75">
        <f t="shared" si="14"/>
      </c>
      <c r="K41" s="78">
        <f t="shared" si="15"/>
      </c>
      <c r="L41" s="93">
        <f t="shared" si="22"/>
      </c>
      <c r="M41" s="70">
        <f t="shared" si="23"/>
      </c>
      <c r="N41" s="75">
        <f t="shared" si="16"/>
      </c>
      <c r="O41" s="78">
        <f t="shared" si="17"/>
      </c>
      <c r="P41" s="93">
        <f t="shared" si="24"/>
      </c>
      <c r="Q41" s="68">
        <f t="shared" si="25"/>
      </c>
      <c r="R41" s="65">
        <v>23</v>
      </c>
      <c r="S41" s="65">
        <v>22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8"/>
      </c>
      <c r="E42" s="70">
        <f t="shared" si="19"/>
      </c>
      <c r="F42" s="75">
        <f t="shared" si="12"/>
      </c>
      <c r="G42" s="78">
        <f t="shared" si="13"/>
      </c>
      <c r="H42" s="93">
        <f t="shared" si="20"/>
      </c>
      <c r="I42" s="70">
        <f t="shared" si="21"/>
      </c>
      <c r="J42" s="75">
        <f t="shared" si="14"/>
      </c>
      <c r="K42" s="78">
        <f t="shared" si="15"/>
      </c>
      <c r="L42" s="93">
        <f t="shared" si="22"/>
      </c>
      <c r="M42" s="70">
        <f t="shared" si="23"/>
      </c>
      <c r="N42" s="75">
        <f t="shared" si="16"/>
      </c>
      <c r="O42" s="78">
        <f t="shared" si="17"/>
      </c>
      <c r="P42" s="93">
        <f t="shared" si="24"/>
      </c>
      <c r="Q42" s="68">
        <f t="shared" si="25"/>
      </c>
      <c r="R42" s="65">
        <v>22</v>
      </c>
      <c r="S42" s="65">
        <v>21</v>
      </c>
      <c r="T42" s="89">
        <f t="shared" si="26"/>
      </c>
      <c r="U42" s="89">
        <f t="shared" si="26"/>
      </c>
    </row>
    <row r="43" spans="1:21" ht="11.25" customHeight="1" thickBot="1">
      <c r="A43" s="45" t="s">
        <v>29</v>
      </c>
      <c r="B43" s="77">
        <f>IF(B23=0,"",SUM(B31:B42)/B44)</f>
        <v>28.128985507246373</v>
      </c>
      <c r="C43" s="80">
        <f>IF(OR(C23=0,C23=""),"",SUM(C31:C42)/C44)</f>
        <v>25.64275362318841</v>
      </c>
      <c r="D43" s="72">
        <f>IF(B23=0,"",AVERAGE(D31:D42))</f>
        <v>-2.4862318840579705</v>
      </c>
      <c r="E43" s="62">
        <f>IF(B23=0,"",AVERAGE(E31:E42))</f>
        <v>-0.08698726472704649</v>
      </c>
      <c r="F43" s="77">
        <f>IF(F23=0,"",SUM(F31:F42)/F44)</f>
        <v>9.44855072463768</v>
      </c>
      <c r="G43" s="80">
        <f>IF(OR(G23=0,G23=""),"",SUM(G31:G42)/G44)</f>
        <v>8.490027605244997</v>
      </c>
      <c r="H43" s="72">
        <f>IF(F23=0,"",AVERAGE(H31:H42))</f>
        <v>-0.9585231193926843</v>
      </c>
      <c r="I43" s="62">
        <f>IF(F23=0,"",AVERAGE(I31:I42))</f>
        <v>-0.09099761493543872</v>
      </c>
      <c r="J43" s="77">
        <f>IF(J23=0,"",SUM(J31:J42)/J44)</f>
        <v>42.23913043478261</v>
      </c>
      <c r="K43" s="80">
        <f>IF(OR(K23=0,K23=""),"",SUM(K31:K42)/K44)</f>
        <v>42.43378191856453</v>
      </c>
      <c r="L43" s="72">
        <f>IF(J23=0,"",AVERAGE(L31:L42))</f>
        <v>0.194651483781918</v>
      </c>
      <c r="M43" s="62">
        <f>IF(J23=0,"",AVERAGE(M31:M42))</f>
        <v>0.005362602604276216</v>
      </c>
      <c r="N43" s="77">
        <f>IF(N23=0,"",SUM(N31:N42)/N44)</f>
        <v>79.81666666666666</v>
      </c>
      <c r="O43" s="80">
        <f>IF(OR(O23=0,O23=""),"",SUM(O31:O42)/O44)</f>
        <v>76.56656314699794</v>
      </c>
      <c r="P43" s="72">
        <f>IF(N23=0,"",AVERAGE(P31:P42))</f>
        <v>-3.2501035196687362</v>
      </c>
      <c r="Q43" s="62">
        <f>IF(N23=0,"",AVERAGE(Q31:Q42))</f>
        <v>-0.045320686397666565</v>
      </c>
      <c r="R43" s="99">
        <f>SUM(R31:R42)</f>
        <v>256</v>
      </c>
      <c r="S43" s="99">
        <f>SUM(S31:S42)</f>
        <v>254</v>
      </c>
      <c r="T43" s="89">
        <f>SUM(T31:T42)</f>
        <v>63</v>
      </c>
      <c r="U43" s="88">
        <f>SUM(U31:U42)</f>
        <v>64</v>
      </c>
    </row>
    <row r="44" spans="1:17" s="30" customFormat="1" ht="11.25" customHeight="1">
      <c r="A44" s="86" t="s">
        <v>28</v>
      </c>
      <c r="B44" s="58">
        <f>COUNTIF(B31:B42,"&gt;0")</f>
        <v>3</v>
      </c>
      <c r="C44" s="58">
        <f>COUNTIF(C31:C42,"&gt;0")</f>
        <v>3</v>
      </c>
      <c r="D44" s="59"/>
      <c r="E44" s="60"/>
      <c r="F44" s="58">
        <f>COUNTIF(F31:F42,"&gt;0")</f>
        <v>3</v>
      </c>
      <c r="G44" s="58">
        <f>COUNTIF(G31:G42,"&gt;0")</f>
        <v>3</v>
      </c>
      <c r="H44" s="59"/>
      <c r="I44" s="60"/>
      <c r="J44" s="58">
        <f>COUNTIF(J31:J42,"&gt;0")</f>
        <v>3</v>
      </c>
      <c r="K44" s="58">
        <f>COUNTIF(K31:K42,"&gt;0")</f>
        <v>3</v>
      </c>
      <c r="L44" s="59"/>
      <c r="M44" s="60"/>
      <c r="N44" s="58">
        <f>COUNTIF(N31:N42,"&gt;0")</f>
        <v>3</v>
      </c>
      <c r="O44" s="58">
        <f>COUNTIF(O31:O42,"&gt;0")</f>
        <v>3</v>
      </c>
      <c r="P44" s="59"/>
      <c r="Q44" s="60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J28:M28"/>
    <mergeCell ref="N28:Q28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B6:E7"/>
    <mergeCell ref="B26:E27"/>
    <mergeCell ref="B2:E2"/>
    <mergeCell ref="B3:C3"/>
    <mergeCell ref="D3:E3"/>
    <mergeCell ref="R30:S30"/>
    <mergeCell ref="B8:E8"/>
    <mergeCell ref="D29:E29"/>
    <mergeCell ref="H29:I29"/>
    <mergeCell ref="L29:M29"/>
  </mergeCells>
  <conditionalFormatting sqref="F12:F22 J12:J22 N12:N22 B12:B22">
    <cfRule type="expression" priority="1" dxfId="0" stopIfTrue="1">
      <formula>C12=""</formula>
    </cfRule>
  </conditionalFormatting>
  <conditionalFormatting sqref="R31:S43">
    <cfRule type="expression" priority="2" dxfId="3" stopIfTrue="1">
      <formula>R31&lt;$R31</formula>
    </cfRule>
    <cfRule type="expression" priority="3" dxfId="2" stopIfTrue="1">
      <formula>R31&gt;$R31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6" t="s">
        <v>18</v>
      </c>
      <c r="B2" s="127" t="s">
        <v>21</v>
      </c>
      <c r="C2" s="127"/>
      <c r="D2" s="127"/>
      <c r="E2" s="127"/>
      <c r="O2" s="5"/>
      <c r="P2" s="5"/>
      <c r="Q2" s="92"/>
    </row>
    <row r="3" spans="1:17" ht="13.5" customHeight="1">
      <c r="A3" s="1"/>
      <c r="B3" s="128" t="s">
        <v>20</v>
      </c>
      <c r="C3" s="128"/>
      <c r="D3" s="129" t="s">
        <v>19</v>
      </c>
      <c r="E3" s="129"/>
      <c r="O3" s="5"/>
      <c r="P3" s="5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256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11326</v>
      </c>
      <c r="C11" s="31">
        <v>11048</v>
      </c>
      <c r="D11" s="21">
        <f aca="true" t="shared" si="0" ref="D11:D22">IF(C11="","",C11-B11)</f>
        <v>-278</v>
      </c>
      <c r="E11" s="68">
        <f aca="true" t="shared" si="1" ref="E11:E23">IF(D11="","",D11/B11)</f>
        <v>-0.02454529401377362</v>
      </c>
      <c r="F11" s="38">
        <v>17310</v>
      </c>
      <c r="G11" s="31">
        <v>16359</v>
      </c>
      <c r="H11" s="21">
        <f aca="true" t="shared" si="2" ref="H11:H22">IF(G11="","",G11-F11)</f>
        <v>-951</v>
      </c>
      <c r="I11" s="68">
        <f aca="true" t="shared" si="3" ref="I11:I23">IF(H11="","",H11/F11)</f>
        <v>-0.054939341421143845</v>
      </c>
      <c r="J11" s="38">
        <v>2331</v>
      </c>
      <c r="K11" s="31">
        <v>2624</v>
      </c>
      <c r="L11" s="21">
        <f aca="true" t="shared" si="4" ref="L11:L22">IF(K11="","",K11-J11)</f>
        <v>293</v>
      </c>
      <c r="M11" s="68">
        <f aca="true" t="shared" si="5" ref="M11:M23">IF(L11="","",L11/J11)</f>
        <v>0.12569712569712568</v>
      </c>
      <c r="N11" s="38">
        <f>SUM(B11,F11,J11)</f>
        <v>30967</v>
      </c>
      <c r="O11" s="34">
        <f aca="true" t="shared" si="6" ref="O11:O22">IF(C11="","",SUM(C11,G11,K11))</f>
        <v>30031</v>
      </c>
      <c r="P11" s="21">
        <f aca="true" t="shared" si="7" ref="P11:P22">IF(O11="","",O11-N11)</f>
        <v>-936</v>
      </c>
      <c r="Q11" s="68">
        <f aca="true" t="shared" si="8" ref="Q11:Q23">IF(P11="","",P11/N11)</f>
        <v>-0.03022572415797462</v>
      </c>
    </row>
    <row r="12" spans="1:17" ht="11.25" customHeight="1">
      <c r="A12" s="20" t="s">
        <v>7</v>
      </c>
      <c r="B12" s="38">
        <v>11719</v>
      </c>
      <c r="C12" s="31">
        <v>11289</v>
      </c>
      <c r="D12" s="21">
        <f t="shared" si="0"/>
        <v>-430</v>
      </c>
      <c r="E12" s="68">
        <f t="shared" si="1"/>
        <v>-0.03669255055892141</v>
      </c>
      <c r="F12" s="38">
        <v>17599</v>
      </c>
      <c r="G12" s="31">
        <v>18479</v>
      </c>
      <c r="H12" s="21">
        <f t="shared" si="2"/>
        <v>880</v>
      </c>
      <c r="I12" s="68">
        <f t="shared" si="3"/>
        <v>0.05000284107051537</v>
      </c>
      <c r="J12" s="38">
        <v>2371</v>
      </c>
      <c r="K12" s="31">
        <v>2763</v>
      </c>
      <c r="L12" s="21">
        <f t="shared" si="4"/>
        <v>392</v>
      </c>
      <c r="M12" s="68">
        <f t="shared" si="5"/>
        <v>0.16533108393083087</v>
      </c>
      <c r="N12" s="38">
        <f aca="true" t="shared" si="9" ref="N12:N22">SUM(B12,F12,J12)</f>
        <v>31689</v>
      </c>
      <c r="O12" s="34">
        <f t="shared" si="6"/>
        <v>32531</v>
      </c>
      <c r="P12" s="21">
        <f t="shared" si="7"/>
        <v>842</v>
      </c>
      <c r="Q12" s="68">
        <f t="shared" si="8"/>
        <v>0.02657073432421345</v>
      </c>
    </row>
    <row r="13" spans="1:17" ht="11.25" customHeight="1">
      <c r="A13" s="27" t="s">
        <v>8</v>
      </c>
      <c r="B13" s="40">
        <v>14865</v>
      </c>
      <c r="C13" s="32">
        <v>12915</v>
      </c>
      <c r="D13" s="22">
        <f t="shared" si="0"/>
        <v>-1950</v>
      </c>
      <c r="E13" s="69">
        <f t="shared" si="1"/>
        <v>-0.1311806256306761</v>
      </c>
      <c r="F13" s="40">
        <v>19793</v>
      </c>
      <c r="G13" s="32">
        <v>20522</v>
      </c>
      <c r="H13" s="22">
        <f t="shared" si="2"/>
        <v>729</v>
      </c>
      <c r="I13" s="69">
        <f t="shared" si="3"/>
        <v>0.03683120295053807</v>
      </c>
      <c r="J13" s="40">
        <v>2655</v>
      </c>
      <c r="K13" s="32">
        <v>2944</v>
      </c>
      <c r="L13" s="22">
        <f t="shared" si="4"/>
        <v>289</v>
      </c>
      <c r="M13" s="69">
        <f t="shared" si="5"/>
        <v>0.1088512241054614</v>
      </c>
      <c r="N13" s="40">
        <f t="shared" si="9"/>
        <v>37313</v>
      </c>
      <c r="O13" s="35">
        <f t="shared" si="6"/>
        <v>36381</v>
      </c>
      <c r="P13" s="22">
        <f t="shared" si="7"/>
        <v>-932</v>
      </c>
      <c r="Q13" s="69">
        <f t="shared" si="8"/>
        <v>-0.024977889743521026</v>
      </c>
    </row>
    <row r="14" spans="1:17" ht="11.25" customHeight="1">
      <c r="A14" s="20" t="s">
        <v>9</v>
      </c>
      <c r="B14" s="38">
        <v>12048</v>
      </c>
      <c r="C14" s="31"/>
      <c r="D14" s="21">
        <f t="shared" si="0"/>
      </c>
      <c r="E14" s="68">
        <f t="shared" si="1"/>
      </c>
      <c r="F14" s="38">
        <v>17350</v>
      </c>
      <c r="G14" s="31"/>
      <c r="H14" s="21">
        <f t="shared" si="2"/>
      </c>
      <c r="I14" s="68">
        <f t="shared" si="3"/>
      </c>
      <c r="J14" s="38">
        <v>2451</v>
      </c>
      <c r="K14" s="31"/>
      <c r="L14" s="21">
        <f t="shared" si="4"/>
      </c>
      <c r="M14" s="68">
        <f t="shared" si="5"/>
      </c>
      <c r="N14" s="38">
        <f t="shared" si="9"/>
        <v>31849</v>
      </c>
      <c r="O14" s="34">
        <f t="shared" si="6"/>
      </c>
      <c r="P14" s="21">
        <f t="shared" si="7"/>
      </c>
      <c r="Q14" s="68">
        <f t="shared" si="8"/>
      </c>
    </row>
    <row r="15" spans="1:17" ht="11.25" customHeight="1">
      <c r="A15" s="20" t="s">
        <v>10</v>
      </c>
      <c r="B15" s="38">
        <v>12991</v>
      </c>
      <c r="C15" s="31"/>
      <c r="D15" s="21">
        <f t="shared" si="0"/>
      </c>
      <c r="E15" s="68">
        <f t="shared" si="1"/>
      </c>
      <c r="F15" s="38">
        <v>19309</v>
      </c>
      <c r="G15" s="31"/>
      <c r="H15" s="21">
        <f t="shared" si="2"/>
      </c>
      <c r="I15" s="68">
        <f t="shared" si="3"/>
      </c>
      <c r="J15" s="38">
        <v>2622</v>
      </c>
      <c r="K15" s="31"/>
      <c r="L15" s="21">
        <f t="shared" si="4"/>
      </c>
      <c r="M15" s="68">
        <f t="shared" si="5"/>
      </c>
      <c r="N15" s="38">
        <f t="shared" si="9"/>
        <v>34922</v>
      </c>
      <c r="O15" s="34">
        <f t="shared" si="6"/>
      </c>
      <c r="P15" s="21">
        <f t="shared" si="7"/>
      </c>
      <c r="Q15" s="68">
        <f t="shared" si="8"/>
      </c>
    </row>
    <row r="16" spans="1:17" ht="11.25" customHeight="1">
      <c r="A16" s="27" t="s">
        <v>11</v>
      </c>
      <c r="B16" s="40">
        <v>11904</v>
      </c>
      <c r="C16" s="32"/>
      <c r="D16" s="22">
        <f t="shared" si="0"/>
      </c>
      <c r="E16" s="69">
        <f t="shared" si="1"/>
      </c>
      <c r="F16" s="40">
        <v>18308</v>
      </c>
      <c r="G16" s="32"/>
      <c r="H16" s="22">
        <f t="shared" si="2"/>
      </c>
      <c r="I16" s="69">
        <f t="shared" si="3"/>
      </c>
      <c r="J16" s="40">
        <v>2538</v>
      </c>
      <c r="K16" s="32"/>
      <c r="L16" s="22">
        <f t="shared" si="4"/>
      </c>
      <c r="M16" s="69">
        <f t="shared" si="5"/>
      </c>
      <c r="N16" s="40">
        <f t="shared" si="9"/>
        <v>32750</v>
      </c>
      <c r="O16" s="35">
        <f t="shared" si="6"/>
      </c>
      <c r="P16" s="22">
        <f t="shared" si="7"/>
      </c>
      <c r="Q16" s="69">
        <f t="shared" si="8"/>
      </c>
    </row>
    <row r="17" spans="1:17" ht="11.25" customHeight="1">
      <c r="A17" s="20" t="s">
        <v>12</v>
      </c>
      <c r="B17" s="38">
        <v>11202</v>
      </c>
      <c r="C17" s="31"/>
      <c r="D17" s="21">
        <f t="shared" si="0"/>
      </c>
      <c r="E17" s="68">
        <f t="shared" si="1"/>
      </c>
      <c r="F17" s="38">
        <v>16339</v>
      </c>
      <c r="G17" s="31"/>
      <c r="H17" s="21">
        <f t="shared" si="2"/>
      </c>
      <c r="I17" s="68">
        <f t="shared" si="3"/>
      </c>
      <c r="J17" s="38">
        <v>2483</v>
      </c>
      <c r="K17" s="31"/>
      <c r="L17" s="21">
        <f t="shared" si="4"/>
      </c>
      <c r="M17" s="68">
        <f t="shared" si="5"/>
      </c>
      <c r="N17" s="38">
        <f t="shared" si="9"/>
        <v>30024</v>
      </c>
      <c r="O17" s="34">
        <f t="shared" si="6"/>
      </c>
      <c r="P17" s="21">
        <f t="shared" si="7"/>
      </c>
      <c r="Q17" s="68">
        <f t="shared" si="8"/>
      </c>
    </row>
    <row r="18" spans="1:17" ht="11.25" customHeight="1">
      <c r="A18" s="20" t="s">
        <v>13</v>
      </c>
      <c r="B18" s="38">
        <v>10588</v>
      </c>
      <c r="C18" s="31"/>
      <c r="D18" s="21">
        <f t="shared" si="0"/>
      </c>
      <c r="E18" s="68">
        <f t="shared" si="1"/>
      </c>
      <c r="F18" s="38">
        <v>13012</v>
      </c>
      <c r="G18" s="31"/>
      <c r="H18" s="21">
        <f t="shared" si="2"/>
      </c>
      <c r="I18" s="68">
        <f t="shared" si="3"/>
      </c>
      <c r="J18" s="38">
        <v>2424</v>
      </c>
      <c r="K18" s="31"/>
      <c r="L18" s="21">
        <f t="shared" si="4"/>
      </c>
      <c r="M18" s="68">
        <f t="shared" si="5"/>
      </c>
      <c r="N18" s="38">
        <f t="shared" si="9"/>
        <v>26024</v>
      </c>
      <c r="O18" s="34">
        <f t="shared" si="6"/>
      </c>
      <c r="P18" s="21">
        <f t="shared" si="7"/>
      </c>
      <c r="Q18" s="68">
        <f t="shared" si="8"/>
      </c>
    </row>
    <row r="19" spans="1:17" ht="11.25" customHeight="1">
      <c r="A19" s="27" t="s">
        <v>14</v>
      </c>
      <c r="B19" s="40">
        <v>11863</v>
      </c>
      <c r="C19" s="32"/>
      <c r="D19" s="22">
        <f t="shared" si="0"/>
      </c>
      <c r="E19" s="69">
        <f t="shared" si="1"/>
      </c>
      <c r="F19" s="40">
        <v>17801</v>
      </c>
      <c r="G19" s="32"/>
      <c r="H19" s="22">
        <f t="shared" si="2"/>
      </c>
      <c r="I19" s="69">
        <f t="shared" si="3"/>
      </c>
      <c r="J19" s="40">
        <v>2532</v>
      </c>
      <c r="K19" s="32"/>
      <c r="L19" s="22">
        <f t="shared" si="4"/>
      </c>
      <c r="M19" s="69">
        <f t="shared" si="5"/>
      </c>
      <c r="N19" s="40">
        <f t="shared" si="9"/>
        <v>32196</v>
      </c>
      <c r="O19" s="35">
        <f t="shared" si="6"/>
      </c>
      <c r="P19" s="22">
        <f t="shared" si="7"/>
      </c>
      <c r="Q19" s="69">
        <f t="shared" si="8"/>
      </c>
    </row>
    <row r="20" spans="1:17" ht="11.25" customHeight="1">
      <c r="A20" s="20" t="s">
        <v>15</v>
      </c>
      <c r="B20" s="38">
        <v>11782</v>
      </c>
      <c r="C20" s="31"/>
      <c r="D20" s="21">
        <f t="shared" si="0"/>
      </c>
      <c r="E20" s="68">
        <f t="shared" si="1"/>
      </c>
      <c r="F20" s="38">
        <v>17989</v>
      </c>
      <c r="G20" s="31"/>
      <c r="H20" s="21">
        <f t="shared" si="2"/>
      </c>
      <c r="I20" s="68">
        <f t="shared" si="3"/>
      </c>
      <c r="J20" s="38">
        <v>2610</v>
      </c>
      <c r="K20" s="31"/>
      <c r="L20" s="21">
        <f t="shared" si="4"/>
      </c>
      <c r="M20" s="68">
        <f t="shared" si="5"/>
      </c>
      <c r="N20" s="38">
        <f t="shared" si="9"/>
        <v>32381</v>
      </c>
      <c r="O20" s="34">
        <f t="shared" si="6"/>
      </c>
      <c r="P20" s="21">
        <f t="shared" si="7"/>
      </c>
      <c r="Q20" s="68">
        <f t="shared" si="8"/>
      </c>
    </row>
    <row r="21" spans="1:17" ht="11.25" customHeight="1">
      <c r="A21" s="20" t="s">
        <v>16</v>
      </c>
      <c r="B21" s="38">
        <v>11904</v>
      </c>
      <c r="C21" s="31"/>
      <c r="D21" s="21">
        <f t="shared" si="0"/>
      </c>
      <c r="E21" s="68">
        <f t="shared" si="1"/>
      </c>
      <c r="F21" s="38">
        <v>17945</v>
      </c>
      <c r="G21" s="31"/>
      <c r="H21" s="21">
        <f t="shared" si="2"/>
      </c>
      <c r="I21" s="68">
        <f t="shared" si="3"/>
      </c>
      <c r="J21" s="38">
        <v>2379</v>
      </c>
      <c r="K21" s="31"/>
      <c r="L21" s="21">
        <f t="shared" si="4"/>
      </c>
      <c r="M21" s="68">
        <f t="shared" si="5"/>
      </c>
      <c r="N21" s="38">
        <f t="shared" si="9"/>
        <v>32228</v>
      </c>
      <c r="O21" s="34">
        <f t="shared" si="6"/>
      </c>
      <c r="P21" s="21">
        <f t="shared" si="7"/>
      </c>
      <c r="Q21" s="68">
        <f t="shared" si="8"/>
      </c>
    </row>
    <row r="22" spans="1:17" ht="11.25" customHeight="1" thickBot="1">
      <c r="A22" s="23" t="s">
        <v>17</v>
      </c>
      <c r="B22" s="39">
        <v>9856</v>
      </c>
      <c r="C22" s="33"/>
      <c r="D22" s="21">
        <f t="shared" si="0"/>
      </c>
      <c r="E22" s="54">
        <f t="shared" si="1"/>
      </c>
      <c r="F22" s="39">
        <v>15601</v>
      </c>
      <c r="G22" s="33"/>
      <c r="H22" s="21">
        <f t="shared" si="2"/>
      </c>
      <c r="I22" s="54">
        <f t="shared" si="3"/>
      </c>
      <c r="J22" s="39">
        <v>2405</v>
      </c>
      <c r="K22" s="33"/>
      <c r="L22" s="21">
        <f t="shared" si="4"/>
      </c>
      <c r="M22" s="54">
        <f t="shared" si="5"/>
      </c>
      <c r="N22" s="39">
        <f t="shared" si="9"/>
        <v>27862</v>
      </c>
      <c r="O22" s="36">
        <f t="shared" si="6"/>
      </c>
      <c r="P22" s="21">
        <f t="shared" si="7"/>
      </c>
      <c r="Q22" s="54">
        <f t="shared" si="8"/>
      </c>
    </row>
    <row r="23" spans="1:17" ht="11.25" customHeight="1" thickBot="1">
      <c r="A23" s="44" t="s">
        <v>3</v>
      </c>
      <c r="B23" s="41">
        <f>IF(C24&lt;7,B24,B25)</f>
        <v>37910</v>
      </c>
      <c r="C23" s="42">
        <f>IF(C11="","",SUM(C11:C22))</f>
        <v>35252</v>
      </c>
      <c r="D23" s="43">
        <f>IF(D11="","",SUM(D11:D22))</f>
        <v>-2658</v>
      </c>
      <c r="E23" s="61">
        <f t="shared" si="1"/>
        <v>-0.0701134265365339</v>
      </c>
      <c r="F23" s="41">
        <f>IF(G24&lt;7,F24,F25)</f>
        <v>54702</v>
      </c>
      <c r="G23" s="42">
        <f>IF(G11="","",SUM(G11:G22))</f>
        <v>55360</v>
      </c>
      <c r="H23" s="43">
        <f>IF(H11="","",SUM(H11:H22))</f>
        <v>658</v>
      </c>
      <c r="I23" s="61">
        <f t="shared" si="3"/>
        <v>0.012028810646777082</v>
      </c>
      <c r="J23" s="41">
        <f>IF(K24&lt;7,J24,J25)</f>
        <v>7357</v>
      </c>
      <c r="K23" s="42">
        <f>IF(K11="","",SUM(K11:K22))</f>
        <v>8331</v>
      </c>
      <c r="L23" s="43">
        <f>IF(L11="","",SUM(L11:L22))</f>
        <v>974</v>
      </c>
      <c r="M23" s="61">
        <f t="shared" si="5"/>
        <v>0.13239092021204296</v>
      </c>
      <c r="N23" s="41">
        <f>IF(O24&lt;7,N24,N25)</f>
        <v>99969</v>
      </c>
      <c r="O23" s="42">
        <f>IF(O11="","",SUM(O11:O22))</f>
        <v>98943</v>
      </c>
      <c r="P23" s="43">
        <f>IF(P11="","",SUM(P11:P22))</f>
        <v>-1026</v>
      </c>
      <c r="Q23" s="61">
        <f t="shared" si="8"/>
        <v>-0.010263181586291751</v>
      </c>
    </row>
    <row r="24" spans="1:17" ht="11.25" customHeight="1">
      <c r="A24" s="85" t="s">
        <v>28</v>
      </c>
      <c r="B24" s="90">
        <f>IF(C24=1,B11,IF(C24=2,SUM(B11:B12),IF(C24=3,SUM(B11:B13),IF(C24=4,SUM(B11:B14),IF(C24=5,SUM(B11:B15),IF(C24=6,SUM(B11:B16),""))))))</f>
        <v>37910</v>
      </c>
      <c r="C24" s="56">
        <f>COUNTIF(C11:C22,"&gt;0")</f>
        <v>3</v>
      </c>
      <c r="D24" s="56"/>
      <c r="E24" s="57"/>
      <c r="F24" s="90">
        <f>IF(G24=1,F11,IF(G24=2,SUM(F11:F12),IF(G24=3,SUM(F11:F13),IF(G24=4,SUM(F11:F14),IF(G24=5,SUM(F11:F15),IF(G24=6,SUM(F11:F16),""))))))</f>
        <v>54702</v>
      </c>
      <c r="G24" s="56">
        <f>COUNTIF(G11:G22,"&gt;0")</f>
        <v>3</v>
      </c>
      <c r="H24" s="56"/>
      <c r="I24" s="57"/>
      <c r="J24" s="90">
        <f>IF(K24=1,J11,IF(K24=2,SUM(J11:J12),IF(K24=3,SUM(J11:J13),IF(K24=4,SUM(J11:J14),IF(K24=5,SUM(J11:J15),IF(K24=6,SUM(J11:J16),""))))))</f>
        <v>7357</v>
      </c>
      <c r="K24" s="56">
        <f>COUNTIF(K11:K22,"&gt;0")</f>
        <v>3</v>
      </c>
      <c r="L24" s="56"/>
      <c r="M24" s="57"/>
      <c r="N24" s="90">
        <f>IF(O24=1,N11,IF(O24=2,SUM(N11:N12),IF(O24=3,SUM(N11:N13),IF(O24=4,SUM(N11:N14),IF(O24=5,SUM(N11:N15),IF(O24=6,SUM(N11:N16),""))))))</f>
        <v>99969</v>
      </c>
      <c r="O24" s="56">
        <f>COUNTIF(O11:O22,"&gt;0")</f>
        <v>3</v>
      </c>
      <c r="P24" s="24"/>
      <c r="Q24" s="25"/>
    </row>
    <row r="25" spans="2:14" ht="11.25" customHeight="1">
      <c r="B25" s="88">
        <f>IF(C24=7,SUM(B11:B17),IF(C24=8,SUM(B11:B18),IF(C24=9,SUM(B11:B19),IF(C24=10,SUM(B11:B20),IF(C24=11,SUM(B11:B21),SUM(B11:B22))))))</f>
        <v>142048</v>
      </c>
      <c r="F25" s="88">
        <f>IF(G24=7,SUM(F11:F17),IF(G24=8,SUM(F11:F18),IF(G24=9,SUM(F11:F19),IF(G24=10,SUM(F11:F20),IF(G24=11,SUM(F11:F21),SUM(F11:F22))))))</f>
        <v>208356</v>
      </c>
      <c r="J25" s="88">
        <f>IF(K24=7,SUM(J11:J17),IF(K24=8,SUM(J11:J18),IF(K24=9,SUM(J11:J19),IF(K24=10,SUM(J11:J20),IF(K24=11,SUM(J11:J21),SUM(J11:J22))))))</f>
        <v>29801</v>
      </c>
      <c r="N25" s="88">
        <f>IF(O24=7,SUM(N11:N17),IF(O24=8,SUM(N11:N18),IF(O24=9,SUM(N11:N19),IF(O24=10,SUM(N11:N20),IF(O24=11,SUM(N11:N21),SUM(N11:N22))))))</f>
        <v>380205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8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20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  <c r="T29" s="52"/>
    </row>
    <row r="30" spans="1:20" ht="11.25" customHeight="1" thickBot="1">
      <c r="A30" s="84" t="s">
        <v>24</v>
      </c>
      <c r="B30" s="11">
        <f>T43</f>
        <v>63</v>
      </c>
      <c r="C30" s="12">
        <f>U43</f>
        <v>64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11" t="s">
        <v>23</v>
      </c>
      <c r="S30" s="112"/>
      <c r="T30" s="53"/>
    </row>
    <row r="31" spans="1:21" ht="11.25" customHeight="1">
      <c r="A31" s="20" t="s">
        <v>6</v>
      </c>
      <c r="B31" s="75">
        <f>IF(C11="","",B11/$R31)</f>
        <v>566.3</v>
      </c>
      <c r="C31" s="78">
        <f>IF(C11="","",C11/$S31)</f>
        <v>526.0952380952381</v>
      </c>
      <c r="D31" s="74">
        <f>IF(C31="","",C31-B31)</f>
        <v>-40.20476190476188</v>
      </c>
      <c r="E31" s="70">
        <f>IF(C31="","",(C31-B31)/ABS(B31))</f>
        <v>-0.07099551810835579</v>
      </c>
      <c r="F31" s="75">
        <f>IF(G11="","",F11/$R31)</f>
        <v>865.5</v>
      </c>
      <c r="G31" s="78">
        <f>IF(G11="","",G11/$S31)</f>
        <v>779</v>
      </c>
      <c r="H31" s="93">
        <f>IF(G31="","",G31-F31)</f>
        <v>-86.5</v>
      </c>
      <c r="I31" s="70">
        <f>IF(G31="","",(G31-F31)/ABS(F31))</f>
        <v>-0.0999422299248989</v>
      </c>
      <c r="J31" s="75">
        <f>IF(K11="","",J11/$R31)</f>
        <v>116.55</v>
      </c>
      <c r="K31" s="78">
        <f>IF(K11="","",K11/$S31)</f>
        <v>124.95238095238095</v>
      </c>
      <c r="L31" s="93">
        <f>IF(K31="","",K31-J31)</f>
        <v>8.402380952380952</v>
      </c>
      <c r="M31" s="70">
        <f>IF(K31="","",(K31-J31)/ABS(J31))</f>
        <v>0.07209250066392923</v>
      </c>
      <c r="N31" s="75">
        <f>IF(O11="","",N11/$R31)</f>
        <v>1548.35</v>
      </c>
      <c r="O31" s="78">
        <f>IF(O11="","",O11/$S31)</f>
        <v>1430.047619047619</v>
      </c>
      <c r="P31" s="93">
        <f>IF(O31="","",O31-N31)</f>
        <v>-118.30238095238087</v>
      </c>
      <c r="Q31" s="68">
        <f>IF(O31="","",(O31-N31)/ABS(N31))</f>
        <v>-0.0764054515790234</v>
      </c>
      <c r="R31" s="65">
        <v>20</v>
      </c>
      <c r="S31" s="65">
        <v>21</v>
      </c>
      <c r="T31" s="89">
        <f>IF(OR(N31="",N31=0),"",R31)</f>
        <v>20</v>
      </c>
      <c r="U31" s="89">
        <f>IF(OR(O31="",O31=0),"",S31)</f>
        <v>21</v>
      </c>
    </row>
    <row r="32" spans="1:21" ht="11.25" customHeight="1">
      <c r="A32" s="20" t="s">
        <v>7</v>
      </c>
      <c r="B32" s="75">
        <f aca="true" t="shared" si="10" ref="B32:B42">IF(C12="","",B12/$R32)</f>
        <v>585.95</v>
      </c>
      <c r="C32" s="78">
        <f aca="true" t="shared" si="11" ref="C32:C42">IF(C12="","",C12/$S32)</f>
        <v>564.45</v>
      </c>
      <c r="D32" s="74">
        <f aca="true" t="shared" si="12" ref="D32:D42">IF(C32="","",C32-B32)</f>
        <v>-21.5</v>
      </c>
      <c r="E32" s="70">
        <f aca="true" t="shared" si="13" ref="E32:E43">IF(C32="","",(C32-B32)/ABS(B32))</f>
        <v>-0.03669255055892141</v>
      </c>
      <c r="F32" s="75">
        <f aca="true" t="shared" si="14" ref="F32:F42">IF(G12="","",F12/$R32)</f>
        <v>879.95</v>
      </c>
      <c r="G32" s="78">
        <f aca="true" t="shared" si="15" ref="G32:G42">IF(G12="","",G12/$S32)</f>
        <v>923.95</v>
      </c>
      <c r="H32" s="93">
        <f aca="true" t="shared" si="16" ref="H32:H42">IF(G32="","",G32-F32)</f>
        <v>44</v>
      </c>
      <c r="I32" s="70">
        <f aca="true" t="shared" si="17" ref="I32:I43">IF(G32="","",(G32-F32)/ABS(F32))</f>
        <v>0.05000284107051537</v>
      </c>
      <c r="J32" s="75">
        <f aca="true" t="shared" si="18" ref="J32:J42">IF(K12="","",J12/$R32)</f>
        <v>118.55</v>
      </c>
      <c r="K32" s="78">
        <f aca="true" t="shared" si="19" ref="K32:K42">IF(K12="","",K12/$S32)</f>
        <v>138.15</v>
      </c>
      <c r="L32" s="93">
        <f aca="true" t="shared" si="20" ref="L32:L42">IF(K32="","",K32-J32)</f>
        <v>19.60000000000001</v>
      </c>
      <c r="M32" s="70">
        <f aca="true" t="shared" si="21" ref="M32:M43">IF(K32="","",(K32-J32)/ABS(J32))</f>
        <v>0.16533108393083096</v>
      </c>
      <c r="N32" s="75">
        <f aca="true" t="shared" si="22" ref="N32:N42">IF(O12="","",N12/$R32)</f>
        <v>1584.45</v>
      </c>
      <c r="O32" s="78">
        <f aca="true" t="shared" si="23" ref="O32:O42">IF(O12="","",O12/$S32)</f>
        <v>1626.55</v>
      </c>
      <c r="P32" s="93">
        <f aca="true" t="shared" si="24" ref="P32:P42">IF(O32="","",O32-N32)</f>
        <v>42.09999999999991</v>
      </c>
      <c r="Q32" s="68">
        <f aca="true" t="shared" si="25" ref="Q32:Q43">IF(O32="","",(O32-N32)/ABS(N32))</f>
        <v>0.02657073432421339</v>
      </c>
      <c r="R32" s="65"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46" t="s">
        <v>8</v>
      </c>
      <c r="B33" s="76">
        <f t="shared" si="10"/>
        <v>646.304347826087</v>
      </c>
      <c r="C33" s="79">
        <f t="shared" si="11"/>
        <v>561.5217391304348</v>
      </c>
      <c r="D33" s="81">
        <f t="shared" si="12"/>
        <v>-84.78260869565224</v>
      </c>
      <c r="E33" s="71">
        <f t="shared" si="13"/>
        <v>-0.13118062563067617</v>
      </c>
      <c r="F33" s="76">
        <f t="shared" si="14"/>
        <v>860.5652173913044</v>
      </c>
      <c r="G33" s="79">
        <f t="shared" si="15"/>
        <v>892.2608695652174</v>
      </c>
      <c r="H33" s="94">
        <f t="shared" si="16"/>
        <v>31.695652173913004</v>
      </c>
      <c r="I33" s="71">
        <f t="shared" si="17"/>
        <v>0.036831202950538024</v>
      </c>
      <c r="J33" s="76">
        <f t="shared" si="18"/>
        <v>115.43478260869566</v>
      </c>
      <c r="K33" s="79">
        <f t="shared" si="19"/>
        <v>128</v>
      </c>
      <c r="L33" s="94">
        <f t="shared" si="20"/>
        <v>12.565217391304344</v>
      </c>
      <c r="M33" s="71">
        <f t="shared" si="21"/>
        <v>0.10885122410546136</v>
      </c>
      <c r="N33" s="76">
        <f t="shared" si="22"/>
        <v>1622.304347826087</v>
      </c>
      <c r="O33" s="79">
        <f t="shared" si="23"/>
        <v>1581.7826086956522</v>
      </c>
      <c r="P33" s="94">
        <f t="shared" si="24"/>
        <v>-40.52173913043475</v>
      </c>
      <c r="Q33" s="69">
        <f t="shared" si="25"/>
        <v>-0.024977889743521005</v>
      </c>
      <c r="R33" s="98">
        <v>23</v>
      </c>
      <c r="S33" s="98">
        <v>23</v>
      </c>
      <c r="T33" s="89">
        <f t="shared" si="26"/>
        <v>23</v>
      </c>
      <c r="U33" s="89">
        <f t="shared" si="26"/>
        <v>23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2"/>
      </c>
      <c r="E34" s="70">
        <f t="shared" si="13"/>
      </c>
      <c r="F34" s="75">
        <f t="shared" si="14"/>
      </c>
      <c r="G34" s="78">
        <f t="shared" si="15"/>
      </c>
      <c r="H34" s="93">
        <f t="shared" si="16"/>
      </c>
      <c r="I34" s="70">
        <f t="shared" si="17"/>
      </c>
      <c r="J34" s="75">
        <f t="shared" si="18"/>
      </c>
      <c r="K34" s="78">
        <f t="shared" si="19"/>
      </c>
      <c r="L34" s="93">
        <f t="shared" si="20"/>
      </c>
      <c r="M34" s="70">
        <f t="shared" si="21"/>
      </c>
      <c r="N34" s="75">
        <f t="shared" si="22"/>
      </c>
      <c r="O34" s="78">
        <f t="shared" si="23"/>
      </c>
      <c r="P34" s="93">
        <f t="shared" si="24"/>
      </c>
      <c r="Q34" s="68">
        <f t="shared" si="25"/>
      </c>
      <c r="R34" s="65">
        <v>20</v>
      </c>
      <c r="S34" s="65">
        <v>19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2"/>
      </c>
      <c r="E35" s="70">
        <f t="shared" si="13"/>
      </c>
      <c r="F35" s="75">
        <f t="shared" si="14"/>
      </c>
      <c r="G35" s="78">
        <f t="shared" si="15"/>
      </c>
      <c r="H35" s="93">
        <f t="shared" si="16"/>
      </c>
      <c r="I35" s="70">
        <f t="shared" si="17"/>
      </c>
      <c r="J35" s="75">
        <f t="shared" si="18"/>
      </c>
      <c r="K35" s="78">
        <f t="shared" si="19"/>
      </c>
      <c r="L35" s="93">
        <f t="shared" si="20"/>
      </c>
      <c r="M35" s="70">
        <f t="shared" si="21"/>
      </c>
      <c r="N35" s="75">
        <f t="shared" si="22"/>
      </c>
      <c r="O35" s="78">
        <f t="shared" si="23"/>
      </c>
      <c r="P35" s="93">
        <f t="shared" si="24"/>
      </c>
      <c r="Q35" s="68">
        <f t="shared" si="25"/>
      </c>
      <c r="R35" s="65">
        <v>19</v>
      </c>
      <c r="S35" s="65">
        <v>22</v>
      </c>
      <c r="T35" s="89">
        <f t="shared" si="26"/>
      </c>
      <c r="U35" s="89">
        <f t="shared" si="26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2"/>
      </c>
      <c r="E36" s="71">
        <f t="shared" si="13"/>
      </c>
      <c r="F36" s="76">
        <f t="shared" si="14"/>
      </c>
      <c r="G36" s="79">
        <f t="shared" si="15"/>
      </c>
      <c r="H36" s="94">
        <f t="shared" si="16"/>
      </c>
      <c r="I36" s="71">
        <f t="shared" si="17"/>
      </c>
      <c r="J36" s="76">
        <f t="shared" si="18"/>
      </c>
      <c r="K36" s="79">
        <f t="shared" si="19"/>
      </c>
      <c r="L36" s="94">
        <f t="shared" si="20"/>
      </c>
      <c r="M36" s="71">
        <f t="shared" si="21"/>
      </c>
      <c r="N36" s="76">
        <f t="shared" si="22"/>
      </c>
      <c r="O36" s="79">
        <f t="shared" si="23"/>
      </c>
      <c r="P36" s="94">
        <f t="shared" si="24"/>
      </c>
      <c r="Q36" s="69">
        <f t="shared" si="25"/>
      </c>
      <c r="R36" s="98">
        <v>22</v>
      </c>
      <c r="S36" s="98">
        <v>20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2"/>
      </c>
      <c r="E37" s="70">
        <f t="shared" si="13"/>
      </c>
      <c r="F37" s="75">
        <f t="shared" si="14"/>
      </c>
      <c r="G37" s="78">
        <f t="shared" si="15"/>
      </c>
      <c r="H37" s="93">
        <f t="shared" si="16"/>
      </c>
      <c r="I37" s="70">
        <f t="shared" si="17"/>
      </c>
      <c r="J37" s="75">
        <f t="shared" si="18"/>
      </c>
      <c r="K37" s="78">
        <f t="shared" si="19"/>
      </c>
      <c r="L37" s="93">
        <f t="shared" si="20"/>
      </c>
      <c r="M37" s="70">
        <f t="shared" si="21"/>
      </c>
      <c r="N37" s="75">
        <f t="shared" si="22"/>
      </c>
      <c r="O37" s="78">
        <f t="shared" si="23"/>
      </c>
      <c r="P37" s="93">
        <f t="shared" si="24"/>
      </c>
      <c r="Q37" s="68">
        <f t="shared" si="25"/>
      </c>
      <c r="R37" s="65">
        <v>22</v>
      </c>
      <c r="S37" s="65">
        <v>21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2"/>
      </c>
      <c r="E38" s="70">
        <f t="shared" si="13"/>
      </c>
      <c r="F38" s="75">
        <f t="shared" si="14"/>
      </c>
      <c r="G38" s="78">
        <f t="shared" si="15"/>
      </c>
      <c r="H38" s="93">
        <f t="shared" si="16"/>
      </c>
      <c r="I38" s="70">
        <f t="shared" si="17"/>
      </c>
      <c r="J38" s="75">
        <f t="shared" si="18"/>
      </c>
      <c r="K38" s="78">
        <f t="shared" si="19"/>
      </c>
      <c r="L38" s="93">
        <f t="shared" si="20"/>
      </c>
      <c r="M38" s="70">
        <f t="shared" si="21"/>
      </c>
      <c r="N38" s="75">
        <f t="shared" si="22"/>
      </c>
      <c r="O38" s="78">
        <f t="shared" si="23"/>
      </c>
      <c r="P38" s="93">
        <f t="shared" si="24"/>
      </c>
      <c r="Q38" s="68">
        <f t="shared" si="25"/>
      </c>
      <c r="R38" s="65">
        <v>22</v>
      </c>
      <c r="S38" s="65">
        <v>22</v>
      </c>
      <c r="T38" s="89">
        <f t="shared" si="26"/>
      </c>
      <c r="U38" s="89">
        <f t="shared" si="26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2"/>
      </c>
      <c r="E39" s="71">
        <f t="shared" si="13"/>
      </c>
      <c r="F39" s="76">
        <f t="shared" si="14"/>
      </c>
      <c r="G39" s="79">
        <f t="shared" si="15"/>
      </c>
      <c r="H39" s="94">
        <f t="shared" si="16"/>
      </c>
      <c r="I39" s="71">
        <f t="shared" si="17"/>
      </c>
      <c r="J39" s="76">
        <f t="shared" si="18"/>
      </c>
      <c r="K39" s="79">
        <f t="shared" si="19"/>
      </c>
      <c r="L39" s="94">
        <f t="shared" si="20"/>
      </c>
      <c r="M39" s="71">
        <f t="shared" si="21"/>
      </c>
      <c r="N39" s="76">
        <f t="shared" si="22"/>
      </c>
      <c r="O39" s="79">
        <f t="shared" si="23"/>
      </c>
      <c r="P39" s="94">
        <f t="shared" si="24"/>
      </c>
      <c r="Q39" s="69">
        <f t="shared" si="25"/>
      </c>
      <c r="R39" s="98">
        <v>21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2"/>
      </c>
      <c r="E40" s="70">
        <f t="shared" si="13"/>
      </c>
      <c r="F40" s="75">
        <f t="shared" si="14"/>
      </c>
      <c r="G40" s="78">
        <f t="shared" si="15"/>
      </c>
      <c r="H40" s="93">
        <f t="shared" si="16"/>
      </c>
      <c r="I40" s="70">
        <f t="shared" si="17"/>
      </c>
      <c r="J40" s="75">
        <f t="shared" si="18"/>
      </c>
      <c r="K40" s="78">
        <f t="shared" si="19"/>
      </c>
      <c r="L40" s="93">
        <f t="shared" si="20"/>
      </c>
      <c r="M40" s="70">
        <f t="shared" si="21"/>
      </c>
      <c r="N40" s="75">
        <f t="shared" si="22"/>
      </c>
      <c r="O40" s="78">
        <f t="shared" si="23"/>
      </c>
      <c r="P40" s="93">
        <f t="shared" si="24"/>
      </c>
      <c r="Q40" s="68">
        <f t="shared" si="25"/>
      </c>
      <c r="R40" s="65">
        <v>22</v>
      </c>
      <c r="S40" s="65">
        <v>21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2"/>
      </c>
      <c r="E41" s="70">
        <f t="shared" si="13"/>
      </c>
      <c r="F41" s="75">
        <f t="shared" si="14"/>
      </c>
      <c r="G41" s="78">
        <f t="shared" si="15"/>
      </c>
      <c r="H41" s="93">
        <f t="shared" si="16"/>
      </c>
      <c r="I41" s="70">
        <f t="shared" si="17"/>
      </c>
      <c r="J41" s="75">
        <f t="shared" si="18"/>
      </c>
      <c r="K41" s="78">
        <f t="shared" si="19"/>
      </c>
      <c r="L41" s="93">
        <f t="shared" si="20"/>
      </c>
      <c r="M41" s="70">
        <f t="shared" si="21"/>
      </c>
      <c r="N41" s="75">
        <f t="shared" si="22"/>
      </c>
      <c r="O41" s="78">
        <f t="shared" si="23"/>
      </c>
      <c r="P41" s="93">
        <f t="shared" si="24"/>
      </c>
      <c r="Q41" s="68">
        <f t="shared" si="25"/>
      </c>
      <c r="R41" s="65">
        <v>23</v>
      </c>
      <c r="S41" s="65">
        <v>22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2"/>
      </c>
      <c r="E42" s="70">
        <f t="shared" si="13"/>
      </c>
      <c r="F42" s="75">
        <f t="shared" si="14"/>
      </c>
      <c r="G42" s="78">
        <f t="shared" si="15"/>
      </c>
      <c r="H42" s="93">
        <f t="shared" si="16"/>
      </c>
      <c r="I42" s="70">
        <f t="shared" si="17"/>
      </c>
      <c r="J42" s="75">
        <f t="shared" si="18"/>
      </c>
      <c r="K42" s="78">
        <f t="shared" si="19"/>
      </c>
      <c r="L42" s="93">
        <f t="shared" si="20"/>
      </c>
      <c r="M42" s="70">
        <f t="shared" si="21"/>
      </c>
      <c r="N42" s="75">
        <f t="shared" si="22"/>
      </c>
      <c r="O42" s="78">
        <f t="shared" si="23"/>
      </c>
      <c r="P42" s="93">
        <f t="shared" si="24"/>
      </c>
      <c r="Q42" s="68">
        <f t="shared" si="25"/>
      </c>
      <c r="R42" s="65">
        <v>22</v>
      </c>
      <c r="S42" s="65">
        <v>21</v>
      </c>
      <c r="T42" s="89">
        <f t="shared" si="26"/>
      </c>
      <c r="U42" s="89">
        <f t="shared" si="26"/>
      </c>
    </row>
    <row r="43" spans="1:21" ht="11.25" customHeight="1" thickBot="1">
      <c r="A43" s="45" t="s">
        <v>29</v>
      </c>
      <c r="B43" s="77">
        <f>AVERAGE(B31:B42)</f>
        <v>599.518115942029</v>
      </c>
      <c r="C43" s="80">
        <f>IF(C11="","",AVERAGE(C31:C42))</f>
        <v>550.6889924085576</v>
      </c>
      <c r="D43" s="72">
        <f>IF(D31="","",AVERAGE(D31:D42))</f>
        <v>-48.829123533471375</v>
      </c>
      <c r="E43" s="62">
        <f t="shared" si="13"/>
        <v>-0.08144728613704304</v>
      </c>
      <c r="F43" s="77">
        <f>AVERAGE(F31:F42)</f>
        <v>868.6717391304347</v>
      </c>
      <c r="G43" s="80">
        <f>IF(G11="","",AVERAGE(G31:G42))</f>
        <v>865.0702898550725</v>
      </c>
      <c r="H43" s="95">
        <f>IF(H31="","",AVERAGE(H31:H42))</f>
        <v>-3.601449275362332</v>
      </c>
      <c r="I43" s="62">
        <f t="shared" si="17"/>
        <v>-0.004145926606254522</v>
      </c>
      <c r="J43" s="77">
        <f>AVERAGE(J31:J42)</f>
        <v>116.84492753623188</v>
      </c>
      <c r="K43" s="80">
        <f>IF(K11="","",AVERAGE(K31:K42))</f>
        <v>130.3674603174603</v>
      </c>
      <c r="L43" s="95">
        <f>IF(L31="","",AVERAGE(L31:L42))</f>
        <v>13.522532781228435</v>
      </c>
      <c r="M43" s="62">
        <f t="shared" si="21"/>
        <v>0.11573059324321373</v>
      </c>
      <c r="N43" s="77">
        <f>AVERAGE(N31:N42)</f>
        <v>1585.0347826086957</v>
      </c>
      <c r="O43" s="80">
        <f>IF(O11="","",AVERAGE(O31:O42))</f>
        <v>1546.1267425810904</v>
      </c>
      <c r="P43" s="95">
        <f>IF(P31="","",AVERAGE(P31:P42))</f>
        <v>-38.90804002760524</v>
      </c>
      <c r="Q43" s="63">
        <f t="shared" si="25"/>
        <v>-0.024547120640197734</v>
      </c>
      <c r="R43" s="99">
        <f>SUM(R31:R42)</f>
        <v>256</v>
      </c>
      <c r="S43" s="99">
        <f>SUM(S31:S42)</f>
        <v>254</v>
      </c>
      <c r="T43" s="89">
        <f>SUM(T31:T42)</f>
        <v>63</v>
      </c>
      <c r="U43" s="88">
        <f>SUM(U31:U42)</f>
        <v>64</v>
      </c>
    </row>
    <row r="44" spans="1:17" s="30" customFormat="1" ht="11.25" customHeight="1">
      <c r="A44" s="86" t="s">
        <v>28</v>
      </c>
      <c r="B44" s="58"/>
      <c r="C44" s="58">
        <f>COUNTIF(C31:C42,"&gt;0")</f>
        <v>3</v>
      </c>
      <c r="D44" s="59"/>
      <c r="E44" s="60"/>
      <c r="F44" s="58"/>
      <c r="G44" s="58">
        <f>COUNTIF(G31:G42,"&gt;0")</f>
        <v>3</v>
      </c>
      <c r="H44" s="59"/>
      <c r="I44" s="60"/>
      <c r="J44" s="58"/>
      <c r="K44" s="58">
        <f>COUNTIF(K31:K42,"&gt;0")</f>
        <v>3</v>
      </c>
      <c r="L44" s="59"/>
      <c r="M44" s="60"/>
      <c r="N44" s="58"/>
      <c r="O44" s="58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 s="73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R30:S30"/>
    <mergeCell ref="B8:E8"/>
    <mergeCell ref="D29:E29"/>
    <mergeCell ref="H29:I29"/>
    <mergeCell ref="L29:M29"/>
    <mergeCell ref="P29:Q29"/>
    <mergeCell ref="D9:E9"/>
    <mergeCell ref="H9:I9"/>
    <mergeCell ref="F8:I8"/>
    <mergeCell ref="F28:I28"/>
    <mergeCell ref="J28:M28"/>
    <mergeCell ref="N28:Q28"/>
    <mergeCell ref="L9:M9"/>
    <mergeCell ref="P9:Q9"/>
    <mergeCell ref="N8:Q8"/>
    <mergeCell ref="J8:M8"/>
    <mergeCell ref="B2:E2"/>
    <mergeCell ref="B3:C3"/>
    <mergeCell ref="D3:E3"/>
    <mergeCell ref="B28:E28"/>
    <mergeCell ref="B26:E27"/>
    <mergeCell ref="B6:E7"/>
  </mergeCells>
  <conditionalFormatting sqref="J13:J22 B13:B16 F13:F22 N13:N22 B18:B21">
    <cfRule type="expression" priority="1" dxfId="0" stopIfTrue="1">
      <formula>C13=""</formula>
    </cfRule>
  </conditionalFormatting>
  <conditionalFormatting sqref="B17 B22 F12 J12 N12">
    <cfRule type="expression" priority="2" dxfId="0" stopIfTrue="1">
      <formula>C12=""</formula>
    </cfRule>
  </conditionalFormatting>
  <conditionalFormatting sqref="R31:S43">
    <cfRule type="expression" priority="3" dxfId="3" stopIfTrue="1">
      <formula>R31&lt;$R31</formula>
    </cfRule>
    <cfRule type="expression" priority="4" dxfId="2" stopIfTrue="1">
      <formula>R31&gt;$R31</formula>
    </cfRule>
  </conditionalFormatting>
  <conditionalFormatting sqref="B12">
    <cfRule type="expression" priority="5" dxfId="0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6" t="s">
        <v>18</v>
      </c>
      <c r="B2" s="137" t="s">
        <v>21</v>
      </c>
      <c r="C2" s="137"/>
      <c r="D2" s="137"/>
      <c r="E2" s="137"/>
      <c r="Q2" s="92"/>
    </row>
    <row r="3" spans="1:17" ht="13.5" customHeight="1">
      <c r="A3" s="1"/>
      <c r="B3" s="128" t="s">
        <v>20</v>
      </c>
      <c r="C3" s="128"/>
      <c r="D3" s="138" t="s">
        <v>25</v>
      </c>
      <c r="E3" s="138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5"/>
      <c r="D6" s="135"/>
      <c r="E6" s="135"/>
      <c r="F6" s="9" t="s">
        <v>32</v>
      </c>
    </row>
    <row r="7" spans="2:6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256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3377</v>
      </c>
      <c r="C11" s="47">
        <v>3704</v>
      </c>
      <c r="D11" s="21">
        <f aca="true" t="shared" si="0" ref="D11:D22">IF(C11="","",C11-B11)</f>
        <v>327</v>
      </c>
      <c r="E11" s="68">
        <f aca="true" t="shared" si="1" ref="E11:E23">IF(D11="","",D11/B11)</f>
        <v>0.09683150725496002</v>
      </c>
      <c r="F11" s="38">
        <v>15769</v>
      </c>
      <c r="G11" s="47">
        <v>15080</v>
      </c>
      <c r="H11" s="21">
        <f aca="true" t="shared" si="2" ref="H11:H22">IF(G11="","",G11-F11)</f>
        <v>-689</v>
      </c>
      <c r="I11" s="68">
        <f aca="true" t="shared" si="3" ref="I11:I23">IF(H11="","",H11/F11)</f>
        <v>-0.043693322341302555</v>
      </c>
      <c r="J11" s="38">
        <v>7537</v>
      </c>
      <c r="K11" s="47">
        <v>7354</v>
      </c>
      <c r="L11" s="21">
        <f aca="true" t="shared" si="4" ref="L11:L22">IF(K11="","",K11-J11)</f>
        <v>-183</v>
      </c>
      <c r="M11" s="68">
        <f aca="true" t="shared" si="5" ref="M11:M23">IF(L11="","",L11/J11)</f>
        <v>-0.024280217593206845</v>
      </c>
      <c r="N11" s="38">
        <f>SUM(B11,F11,J11)</f>
        <v>26683</v>
      </c>
      <c r="O11" s="34">
        <f aca="true" t="shared" si="6" ref="O11:O22">IF(C11="","",SUM(C11,G11,K11))</f>
        <v>26138</v>
      </c>
      <c r="P11" s="21">
        <f aca="true" t="shared" si="7" ref="P11:P22">IF(O11="","",O11-N11)</f>
        <v>-545</v>
      </c>
      <c r="Q11" s="68">
        <f aca="true" t="shared" si="8" ref="Q11:Q23">IF(P11="","",P11/N11)</f>
        <v>-0.02042498969381254</v>
      </c>
    </row>
    <row r="12" spans="1:17" ht="11.25" customHeight="1">
      <c r="A12" s="20" t="s">
        <v>7</v>
      </c>
      <c r="B12" s="38">
        <v>3614</v>
      </c>
      <c r="C12" s="47">
        <v>3527</v>
      </c>
      <c r="D12" s="21">
        <f t="shared" si="0"/>
        <v>-87</v>
      </c>
      <c r="E12" s="68">
        <f t="shared" si="1"/>
        <v>-0.02407304925290537</v>
      </c>
      <c r="F12" s="38">
        <v>16833</v>
      </c>
      <c r="G12" s="47">
        <v>17289</v>
      </c>
      <c r="H12" s="21">
        <f t="shared" si="2"/>
        <v>456</v>
      </c>
      <c r="I12" s="68">
        <f t="shared" si="3"/>
        <v>0.027089645339511675</v>
      </c>
      <c r="J12" s="38">
        <v>7879</v>
      </c>
      <c r="K12" s="47">
        <v>7354</v>
      </c>
      <c r="L12" s="21">
        <f t="shared" si="4"/>
        <v>-525</v>
      </c>
      <c r="M12" s="68">
        <f t="shared" si="5"/>
        <v>-0.06663282142403858</v>
      </c>
      <c r="N12" s="38">
        <f aca="true" t="shared" si="9" ref="N12:N22">SUM(B12,F12,J12)</f>
        <v>28326</v>
      </c>
      <c r="O12" s="34">
        <f t="shared" si="6"/>
        <v>28170</v>
      </c>
      <c r="P12" s="21">
        <f t="shared" si="7"/>
        <v>-156</v>
      </c>
      <c r="Q12" s="68">
        <f t="shared" si="8"/>
        <v>-0.005507307773776742</v>
      </c>
    </row>
    <row r="13" spans="1:17" ht="11.25" customHeight="1">
      <c r="A13" s="27" t="s">
        <v>8</v>
      </c>
      <c r="B13" s="40">
        <v>3849</v>
      </c>
      <c r="C13" s="48">
        <v>3958</v>
      </c>
      <c r="D13" s="22">
        <f t="shared" si="0"/>
        <v>109</v>
      </c>
      <c r="E13" s="69">
        <f t="shared" si="1"/>
        <v>0.028319043907508445</v>
      </c>
      <c r="F13" s="40">
        <v>19786</v>
      </c>
      <c r="G13" s="48">
        <v>19328</v>
      </c>
      <c r="H13" s="22">
        <f t="shared" si="2"/>
        <v>-458</v>
      </c>
      <c r="I13" s="69">
        <f t="shared" si="3"/>
        <v>-0.023147680177903567</v>
      </c>
      <c r="J13" s="40">
        <v>9783</v>
      </c>
      <c r="K13" s="48">
        <v>8339</v>
      </c>
      <c r="L13" s="22">
        <f t="shared" si="4"/>
        <v>-1444</v>
      </c>
      <c r="M13" s="69">
        <f t="shared" si="5"/>
        <v>-0.1476029847694981</v>
      </c>
      <c r="N13" s="40">
        <f t="shared" si="9"/>
        <v>33418</v>
      </c>
      <c r="O13" s="35">
        <f t="shared" si="6"/>
        <v>31625</v>
      </c>
      <c r="P13" s="22">
        <f t="shared" si="7"/>
        <v>-1793</v>
      </c>
      <c r="Q13" s="69">
        <f t="shared" si="8"/>
        <v>-0.05365371955233706</v>
      </c>
    </row>
    <row r="14" spans="1:17" ht="11.25" customHeight="1">
      <c r="A14" s="20" t="s">
        <v>9</v>
      </c>
      <c r="B14" s="38">
        <v>3455</v>
      </c>
      <c r="C14" s="47"/>
      <c r="D14" s="21">
        <f t="shared" si="0"/>
      </c>
      <c r="E14" s="68">
        <f t="shared" si="1"/>
      </c>
      <c r="F14" s="38">
        <v>16785</v>
      </c>
      <c r="G14" s="47"/>
      <c r="H14" s="21">
        <f t="shared" si="2"/>
      </c>
      <c r="I14" s="68">
        <f t="shared" si="3"/>
      </c>
      <c r="J14" s="38">
        <v>7770</v>
      </c>
      <c r="K14" s="47"/>
      <c r="L14" s="21">
        <f t="shared" si="4"/>
      </c>
      <c r="M14" s="68">
        <f t="shared" si="5"/>
      </c>
      <c r="N14" s="38">
        <f t="shared" si="9"/>
        <v>28010</v>
      </c>
      <c r="O14" s="34">
        <f t="shared" si="6"/>
      </c>
      <c r="P14" s="21">
        <f t="shared" si="7"/>
      </c>
      <c r="Q14" s="68">
        <f t="shared" si="8"/>
      </c>
    </row>
    <row r="15" spans="1:17" ht="11.25" customHeight="1">
      <c r="A15" s="20" t="s">
        <v>10</v>
      </c>
      <c r="B15" s="38">
        <v>3946</v>
      </c>
      <c r="C15" s="47"/>
      <c r="D15" s="21">
        <f t="shared" si="0"/>
      </c>
      <c r="E15" s="68">
        <f t="shared" si="1"/>
      </c>
      <c r="F15" s="38">
        <v>17787</v>
      </c>
      <c r="G15" s="47"/>
      <c r="H15" s="21">
        <f t="shared" si="2"/>
      </c>
      <c r="I15" s="68">
        <f t="shared" si="3"/>
      </c>
      <c r="J15" s="38">
        <v>8681</v>
      </c>
      <c r="K15" s="47"/>
      <c r="L15" s="21">
        <f t="shared" si="4"/>
      </c>
      <c r="M15" s="68">
        <f t="shared" si="5"/>
      </c>
      <c r="N15" s="38">
        <f t="shared" si="9"/>
        <v>30414</v>
      </c>
      <c r="O15" s="34">
        <f t="shared" si="6"/>
      </c>
      <c r="P15" s="21">
        <f t="shared" si="7"/>
      </c>
      <c r="Q15" s="68">
        <f t="shared" si="8"/>
      </c>
    </row>
    <row r="16" spans="1:17" ht="11.25" customHeight="1">
      <c r="A16" s="27" t="s">
        <v>11</v>
      </c>
      <c r="B16" s="40">
        <v>3670</v>
      </c>
      <c r="C16" s="48"/>
      <c r="D16" s="22">
        <f t="shared" si="0"/>
      </c>
      <c r="E16" s="69">
        <f t="shared" si="1"/>
      </c>
      <c r="F16" s="40">
        <v>17153</v>
      </c>
      <c r="G16" s="48"/>
      <c r="H16" s="22">
        <f t="shared" si="2"/>
      </c>
      <c r="I16" s="69">
        <f t="shared" si="3"/>
      </c>
      <c r="J16" s="40">
        <v>8024</v>
      </c>
      <c r="K16" s="48"/>
      <c r="L16" s="22">
        <f t="shared" si="4"/>
      </c>
      <c r="M16" s="69">
        <f t="shared" si="5"/>
      </c>
      <c r="N16" s="40">
        <f t="shared" si="9"/>
        <v>28847</v>
      </c>
      <c r="O16" s="35">
        <f t="shared" si="6"/>
      </c>
      <c r="P16" s="22">
        <f t="shared" si="7"/>
      </c>
      <c r="Q16" s="69">
        <f t="shared" si="8"/>
      </c>
    </row>
    <row r="17" spans="1:17" ht="11.25" customHeight="1">
      <c r="A17" s="20" t="s">
        <v>12</v>
      </c>
      <c r="B17" s="38">
        <v>3617</v>
      </c>
      <c r="C17" s="47"/>
      <c r="D17" s="21">
        <f t="shared" si="0"/>
      </c>
      <c r="E17" s="68">
        <f t="shared" si="1"/>
      </c>
      <c r="F17" s="38">
        <v>15589</v>
      </c>
      <c r="G17" s="47"/>
      <c r="H17" s="21">
        <f t="shared" si="2"/>
      </c>
      <c r="I17" s="68">
        <f t="shared" si="3"/>
      </c>
      <c r="J17" s="38">
        <v>7670</v>
      </c>
      <c r="K17" s="47"/>
      <c r="L17" s="21">
        <f t="shared" si="4"/>
      </c>
      <c r="M17" s="68">
        <f t="shared" si="5"/>
      </c>
      <c r="N17" s="38">
        <f t="shared" si="9"/>
        <v>26876</v>
      </c>
      <c r="O17" s="34">
        <f t="shared" si="6"/>
      </c>
      <c r="P17" s="21">
        <f t="shared" si="7"/>
      </c>
      <c r="Q17" s="68">
        <f t="shared" si="8"/>
      </c>
    </row>
    <row r="18" spans="1:17" ht="11.25" customHeight="1">
      <c r="A18" s="20" t="s">
        <v>13</v>
      </c>
      <c r="B18" s="38">
        <v>3117</v>
      </c>
      <c r="C18" s="47"/>
      <c r="D18" s="21">
        <f t="shared" si="0"/>
      </c>
      <c r="E18" s="68">
        <f t="shared" si="1"/>
      </c>
      <c r="F18" s="38">
        <v>11636</v>
      </c>
      <c r="G18" s="47"/>
      <c r="H18" s="21">
        <f t="shared" si="2"/>
      </c>
      <c r="I18" s="68">
        <f t="shared" si="3"/>
      </c>
      <c r="J18" s="38">
        <v>6924</v>
      </c>
      <c r="K18" s="47"/>
      <c r="L18" s="21">
        <f t="shared" si="4"/>
      </c>
      <c r="M18" s="68">
        <f t="shared" si="5"/>
      </c>
      <c r="N18" s="38">
        <f t="shared" si="9"/>
        <v>21677</v>
      </c>
      <c r="O18" s="34">
        <f t="shared" si="6"/>
      </c>
      <c r="P18" s="21">
        <f t="shared" si="7"/>
      </c>
      <c r="Q18" s="68">
        <f t="shared" si="8"/>
      </c>
    </row>
    <row r="19" spans="1:17" ht="11.25" customHeight="1">
      <c r="A19" s="27" t="s">
        <v>14</v>
      </c>
      <c r="B19" s="40">
        <v>3748</v>
      </c>
      <c r="C19" s="48"/>
      <c r="D19" s="22">
        <f t="shared" si="0"/>
      </c>
      <c r="E19" s="69">
        <f t="shared" si="1"/>
      </c>
      <c r="F19" s="40">
        <v>17746</v>
      </c>
      <c r="G19" s="48"/>
      <c r="H19" s="22">
        <f t="shared" si="2"/>
      </c>
      <c r="I19" s="69">
        <f t="shared" si="3"/>
      </c>
      <c r="J19" s="40">
        <v>7622</v>
      </c>
      <c r="K19" s="48"/>
      <c r="L19" s="22">
        <f t="shared" si="4"/>
      </c>
      <c r="M19" s="69">
        <f t="shared" si="5"/>
      </c>
      <c r="N19" s="40">
        <f t="shared" si="9"/>
        <v>29116</v>
      </c>
      <c r="O19" s="35">
        <f t="shared" si="6"/>
      </c>
      <c r="P19" s="22">
        <f t="shared" si="7"/>
      </c>
      <c r="Q19" s="69">
        <f t="shared" si="8"/>
      </c>
    </row>
    <row r="20" spans="1:17" ht="11.25" customHeight="1">
      <c r="A20" s="20" t="s">
        <v>15</v>
      </c>
      <c r="B20" s="38">
        <v>3741</v>
      </c>
      <c r="C20" s="47"/>
      <c r="D20" s="21">
        <f t="shared" si="0"/>
      </c>
      <c r="E20" s="68">
        <f t="shared" si="1"/>
      </c>
      <c r="F20" s="38">
        <v>17858</v>
      </c>
      <c r="G20" s="47"/>
      <c r="H20" s="21">
        <f t="shared" si="2"/>
      </c>
      <c r="I20" s="68">
        <f t="shared" si="3"/>
      </c>
      <c r="J20" s="38">
        <v>7849</v>
      </c>
      <c r="K20" s="47"/>
      <c r="L20" s="21">
        <f t="shared" si="4"/>
      </c>
      <c r="M20" s="68">
        <f t="shared" si="5"/>
      </c>
      <c r="N20" s="38">
        <f t="shared" si="9"/>
        <v>29448</v>
      </c>
      <c r="O20" s="34">
        <f t="shared" si="6"/>
      </c>
      <c r="P20" s="21">
        <f t="shared" si="7"/>
      </c>
      <c r="Q20" s="68">
        <f t="shared" si="8"/>
      </c>
    </row>
    <row r="21" spans="1:17" ht="11.25" customHeight="1">
      <c r="A21" s="20" t="s">
        <v>16</v>
      </c>
      <c r="B21" s="38">
        <v>3781</v>
      </c>
      <c r="C21" s="47"/>
      <c r="D21" s="21">
        <f t="shared" si="0"/>
      </c>
      <c r="E21" s="68">
        <f t="shared" si="1"/>
      </c>
      <c r="F21" s="38">
        <v>16470</v>
      </c>
      <c r="G21" s="47"/>
      <c r="H21" s="21">
        <f t="shared" si="2"/>
      </c>
      <c r="I21" s="68">
        <f t="shared" si="3"/>
      </c>
      <c r="J21" s="38">
        <v>7596</v>
      </c>
      <c r="K21" s="47"/>
      <c r="L21" s="21">
        <f t="shared" si="4"/>
      </c>
      <c r="M21" s="68">
        <f t="shared" si="5"/>
      </c>
      <c r="N21" s="38">
        <f t="shared" si="9"/>
        <v>27847</v>
      </c>
      <c r="O21" s="34">
        <f t="shared" si="6"/>
      </c>
      <c r="P21" s="21">
        <f t="shared" si="7"/>
      </c>
      <c r="Q21" s="68">
        <f t="shared" si="8"/>
      </c>
    </row>
    <row r="22" spans="1:17" ht="11.25" customHeight="1" thickBot="1">
      <c r="A22" s="23" t="s">
        <v>17</v>
      </c>
      <c r="B22" s="39">
        <v>3196</v>
      </c>
      <c r="C22" s="49"/>
      <c r="D22" s="21">
        <f t="shared" si="0"/>
      </c>
      <c r="E22" s="54">
        <f t="shared" si="1"/>
      </c>
      <c r="F22" s="39">
        <v>13541</v>
      </c>
      <c r="G22" s="49"/>
      <c r="H22" s="21">
        <f t="shared" si="2"/>
      </c>
      <c r="I22" s="54">
        <f t="shared" si="3"/>
      </c>
      <c r="J22" s="39">
        <v>6570</v>
      </c>
      <c r="K22" s="49"/>
      <c r="L22" s="21">
        <f t="shared" si="4"/>
      </c>
      <c r="M22" s="54">
        <f t="shared" si="5"/>
      </c>
      <c r="N22" s="39">
        <f t="shared" si="9"/>
        <v>23307</v>
      </c>
      <c r="O22" s="36">
        <f t="shared" si="6"/>
      </c>
      <c r="P22" s="21">
        <f t="shared" si="7"/>
      </c>
      <c r="Q22" s="54">
        <f t="shared" si="8"/>
      </c>
    </row>
    <row r="23" spans="1:17" ht="11.25" customHeight="1" thickBot="1">
      <c r="A23" s="44" t="s">
        <v>3</v>
      </c>
      <c r="B23" s="41">
        <f>IF(C24&lt;7,B24,B25)</f>
        <v>10840</v>
      </c>
      <c r="C23" s="42">
        <f>IF(C11="","",SUM(C11:C22))</f>
        <v>11189</v>
      </c>
      <c r="D23" s="43">
        <f>IF(D11="","",SUM(D11:D22))</f>
        <v>349</v>
      </c>
      <c r="E23" s="61">
        <f t="shared" si="1"/>
        <v>0.03219557195571956</v>
      </c>
      <c r="F23" s="41">
        <f>IF(G24&lt;7,F24,F25)</f>
        <v>52388</v>
      </c>
      <c r="G23" s="42">
        <f>IF(G11="","",SUM(G11:G22))</f>
        <v>51697</v>
      </c>
      <c r="H23" s="43">
        <f>IF(H11="","",SUM(H11:H22))</f>
        <v>-691</v>
      </c>
      <c r="I23" s="61">
        <f t="shared" si="3"/>
        <v>-0.013190043521417118</v>
      </c>
      <c r="J23" s="41">
        <f>IF(K24&lt;7,J24,J25)</f>
        <v>25199</v>
      </c>
      <c r="K23" s="42">
        <f>IF(K11="","",SUM(K11:K22))</f>
        <v>23047</v>
      </c>
      <c r="L23" s="43">
        <f>IF(L11="","",SUM(L11:L22))</f>
        <v>-2152</v>
      </c>
      <c r="M23" s="61">
        <f t="shared" si="5"/>
        <v>-0.08540021429421803</v>
      </c>
      <c r="N23" s="41">
        <f>IF(O24&lt;7,N24,N25)</f>
        <v>88427</v>
      </c>
      <c r="O23" s="42">
        <f>IF(O11="","",SUM(O11:O22))</f>
        <v>85933</v>
      </c>
      <c r="P23" s="43">
        <f>IF(P11="","",SUM(P11:P22))</f>
        <v>-2494</v>
      </c>
      <c r="Q23" s="61">
        <f t="shared" si="8"/>
        <v>-0.028204055322469383</v>
      </c>
    </row>
    <row r="24" spans="1:17" ht="11.25" customHeight="1">
      <c r="A24" s="85" t="s">
        <v>28</v>
      </c>
      <c r="B24" s="90">
        <f>IF(C24=1,B11,IF(C24=2,SUM(B11:B12),IF(C24=3,SUM(B11:B13),IF(C24=4,SUM(B11:B14),IF(C24=5,SUM(B11:B15),IF(C24=6,SUM(B11:B16),""))))))</f>
        <v>10840</v>
      </c>
      <c r="C24" s="56">
        <f>COUNTIF(C11:C22,"&gt;0")</f>
        <v>3</v>
      </c>
      <c r="D24" s="56"/>
      <c r="E24" s="57"/>
      <c r="F24" s="90">
        <f>IF(G24=1,F11,IF(G24=2,SUM(F11:F12),IF(G24=3,SUM(F11:F13),IF(G24=4,SUM(F11:F14),IF(G24=5,SUM(F11:F15),IF(G24=6,SUM(F11:F16),""))))))</f>
        <v>52388</v>
      </c>
      <c r="G24" s="56">
        <f>COUNTIF(G11:G22,"&gt;0")</f>
        <v>3</v>
      </c>
      <c r="H24" s="56"/>
      <c r="I24" s="57"/>
      <c r="J24" s="90">
        <f>IF(K24=1,J11,IF(K24=2,SUM(J11:J12),IF(K24=3,SUM(J11:J13),IF(K24=4,SUM(J11:J14),IF(K24=5,SUM(J11:J15),IF(K24=6,SUM(J11:J16),""))))))</f>
        <v>25199</v>
      </c>
      <c r="K24" s="56">
        <f>COUNTIF(K11:K22,"&gt;0")</f>
        <v>3</v>
      </c>
      <c r="L24" s="56"/>
      <c r="M24" s="57"/>
      <c r="N24" s="90">
        <f>IF(O24=1,N11,IF(O24=2,SUM(N11:N12),IF(O24=3,SUM(N11:N13),IF(O24=4,SUM(N11:N14),IF(O24=5,SUM(N11:N15),IF(O24=6,SUM(N11:N16),""))))))</f>
        <v>88427</v>
      </c>
      <c r="O24" s="56">
        <f>COUNTIF(O11:O22,"&gt;0")</f>
        <v>3</v>
      </c>
      <c r="P24" s="24"/>
      <c r="Q24" s="25"/>
    </row>
    <row r="25" spans="2:14" ht="11.25" customHeight="1">
      <c r="B25" s="88">
        <f>IF(C24=7,SUM(B11:B17),IF(C24=8,SUM(B11:B18),IF(C24=9,SUM(B11:B19),IF(C24=10,SUM(B11:B20),IF(C24=11,SUM(B11:B21),SUM(B11:B22))))))</f>
        <v>43111</v>
      </c>
      <c r="F25" s="88">
        <f>IF(G24=7,SUM(F11:F17),IF(G24=8,SUM(F11:F18),IF(G24=9,SUM(F11:F19),IF(G24=10,SUM(F11:F20),IF(G24=11,SUM(F11:F21),SUM(F11:F22))))))</f>
        <v>196953</v>
      </c>
      <c r="J25" s="88">
        <f>IF(K24=7,SUM(J11:J17),IF(K24=8,SUM(J11:J18),IF(K24=9,SUM(J11:J19),IF(K24=10,SUM(J11:J20),IF(K24=11,SUM(J11:J21),SUM(J11:J22))))))</f>
        <v>93905</v>
      </c>
      <c r="N25" s="88">
        <f>IF(O24=7,SUM(N11:N17),IF(O24=8,SUM(N11:N18),IF(O24=9,SUM(N11:N19),IF(O24=10,SUM(N11:N20),IF(O24=11,SUM(N11:N21),SUM(N11:N22))))))</f>
        <v>333969</v>
      </c>
    </row>
    <row r="26" spans="1:6" ht="11.25" customHeight="1">
      <c r="A26" s="7"/>
      <c r="B26" s="132" t="s">
        <v>22</v>
      </c>
      <c r="C26" s="135"/>
      <c r="D26" s="135"/>
      <c r="E26" s="135"/>
      <c r="F26" s="9" t="s">
        <v>31</v>
      </c>
    </row>
    <row r="27" spans="2:6" ht="11.25" customHeight="1" thickBot="1">
      <c r="B27" s="136"/>
      <c r="C27" s="136"/>
      <c r="D27" s="136"/>
      <c r="E27" s="136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63</v>
      </c>
      <c r="C30" s="12">
        <f>U43</f>
        <v>64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>IF(C11="","",B11/$R31)</f>
        <v>168.85</v>
      </c>
      <c r="C31" s="78">
        <f>IF(C11="","",C11/$S31)</f>
        <v>176.38095238095238</v>
      </c>
      <c r="D31" s="74">
        <f>IF(C31="","",C31-B31)</f>
        <v>7.530952380952385</v>
      </c>
      <c r="E31" s="70">
        <f>IF(C31="","",(C31-B31)/ABS(B31))</f>
        <v>0.04460143548091434</v>
      </c>
      <c r="F31" s="75">
        <f>IF(G11="","",F11/$R31)</f>
        <v>788.45</v>
      </c>
      <c r="G31" s="78">
        <f>IF(G11="","",G11/$S31)</f>
        <v>718.0952380952381</v>
      </c>
      <c r="H31" s="93">
        <f>IF(G31="","",G31-F31)</f>
        <v>-70.35476190476197</v>
      </c>
      <c r="I31" s="70">
        <f>IF(G31="","",(G31-F31)/ABS(F31))</f>
        <v>-0.08923173556314537</v>
      </c>
      <c r="J31" s="75">
        <f>IF(K11="","",J11/$R31)</f>
        <v>376.85</v>
      </c>
      <c r="K31" s="78">
        <f>IF(K11="","",K11/$S31)</f>
        <v>350.1904761904762</v>
      </c>
      <c r="L31" s="93">
        <f>IF(K31="","",K31-J31)</f>
        <v>-26.65952380952382</v>
      </c>
      <c r="M31" s="70">
        <f>IF(K31="","",(K31-J31)/ABS(J31))</f>
        <v>-0.07074306437448273</v>
      </c>
      <c r="N31" s="75">
        <f>IF(O11="","",N11/$R31)</f>
        <v>1334.15</v>
      </c>
      <c r="O31" s="78">
        <f>IF(O11="","",O11/$S31)</f>
        <v>1244.6666666666667</v>
      </c>
      <c r="P31" s="93">
        <f>IF(O31="","",O31-N31)</f>
        <v>-89.48333333333335</v>
      </c>
      <c r="Q31" s="68">
        <f>IF(O31="","",(O31-N31)/ABS(N31))</f>
        <v>-0.06707141875601196</v>
      </c>
      <c r="R31" s="65">
        <v>20</v>
      </c>
      <c r="S31" s="65">
        <v>21</v>
      </c>
      <c r="T31" s="89">
        <f>IF(OR(N31="",N31=0),"",R31)</f>
        <v>20</v>
      </c>
      <c r="U31" s="89">
        <f>IF(OR(O31="",O31=0),"",S31)</f>
        <v>21</v>
      </c>
    </row>
    <row r="32" spans="1:21" ht="11.25" customHeight="1">
      <c r="A32" s="20" t="s">
        <v>7</v>
      </c>
      <c r="B32" s="75">
        <f aca="true" t="shared" si="10" ref="B32:B42">IF(C12="","",B12/$R32)</f>
        <v>180.7</v>
      </c>
      <c r="C32" s="78">
        <f aca="true" t="shared" si="11" ref="C32:C42">IF(C12="","",C12/$S32)</f>
        <v>176.35</v>
      </c>
      <c r="D32" s="74">
        <f aca="true" t="shared" si="12" ref="D32:D42">IF(C32="","",C32-B32)</f>
        <v>-4.349999999999994</v>
      </c>
      <c r="E32" s="70">
        <f aca="true" t="shared" si="13" ref="E32:E43">IF(C32="","",(C32-B32)/ABS(B32))</f>
        <v>-0.024073049252905338</v>
      </c>
      <c r="F32" s="75">
        <f aca="true" t="shared" si="14" ref="F32:F42">IF(G12="","",F12/$R32)</f>
        <v>841.65</v>
      </c>
      <c r="G32" s="78">
        <f aca="true" t="shared" si="15" ref="G32:G42">IF(G12="","",G12/$S32)</f>
        <v>864.45</v>
      </c>
      <c r="H32" s="93">
        <f aca="true" t="shared" si="16" ref="H32:H42">IF(G32="","",G32-F32)</f>
        <v>22.800000000000068</v>
      </c>
      <c r="I32" s="70">
        <f aca="true" t="shared" si="17" ref="I32:I43">IF(G32="","",(G32-F32)/ABS(F32))</f>
        <v>0.027089645339511755</v>
      </c>
      <c r="J32" s="75">
        <f aca="true" t="shared" si="18" ref="J32:J42">IF(K12="","",J12/$R32)</f>
        <v>393.95</v>
      </c>
      <c r="K32" s="78">
        <f aca="true" t="shared" si="19" ref="K32:K42">IF(K12="","",K12/$S32)</f>
        <v>367.7</v>
      </c>
      <c r="L32" s="93">
        <f aca="true" t="shared" si="20" ref="L32:L42">IF(K32="","",K32-J32)</f>
        <v>-26.25</v>
      </c>
      <c r="M32" s="70">
        <f aca="true" t="shared" si="21" ref="M32:M43">IF(K32="","",(K32-J32)/ABS(J32))</f>
        <v>-0.06663282142403859</v>
      </c>
      <c r="N32" s="75">
        <f aca="true" t="shared" si="22" ref="N32:N42">IF(O12="","",N12/$R32)</f>
        <v>1416.3</v>
      </c>
      <c r="O32" s="78">
        <f aca="true" t="shared" si="23" ref="O32:O42">IF(O12="","",O12/$S32)</f>
        <v>1408.5</v>
      </c>
      <c r="P32" s="93">
        <f aca="true" t="shared" si="24" ref="P32:P42">IF(O32="","",O32-N32)</f>
        <v>-7.7999999999999545</v>
      </c>
      <c r="Q32" s="68">
        <f aca="true" t="shared" si="25" ref="Q32:Q43">IF(O32="","",(O32-N32)/ABS(N32))</f>
        <v>-0.005507307773776711</v>
      </c>
      <c r="R32" s="65"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46" t="s">
        <v>8</v>
      </c>
      <c r="B33" s="76">
        <f t="shared" si="10"/>
        <v>167.34782608695653</v>
      </c>
      <c r="C33" s="79">
        <f t="shared" si="11"/>
        <v>172.08695652173913</v>
      </c>
      <c r="D33" s="81">
        <f t="shared" si="12"/>
        <v>4.739130434782595</v>
      </c>
      <c r="E33" s="71">
        <f t="shared" si="13"/>
        <v>0.028319043907508362</v>
      </c>
      <c r="F33" s="76">
        <f t="shared" si="14"/>
        <v>860.2608695652174</v>
      </c>
      <c r="G33" s="79">
        <f t="shared" si="15"/>
        <v>840.3478260869565</v>
      </c>
      <c r="H33" s="94">
        <f t="shared" si="16"/>
        <v>-19.913043478260875</v>
      </c>
      <c r="I33" s="71">
        <f t="shared" si="17"/>
        <v>-0.023147680177903574</v>
      </c>
      <c r="J33" s="76">
        <f t="shared" si="18"/>
        <v>425.3478260869565</v>
      </c>
      <c r="K33" s="79">
        <f t="shared" si="19"/>
        <v>362.5652173913044</v>
      </c>
      <c r="L33" s="94">
        <f t="shared" si="20"/>
        <v>-62.78260869565213</v>
      </c>
      <c r="M33" s="71">
        <f t="shared" si="21"/>
        <v>-0.147602984769498</v>
      </c>
      <c r="N33" s="76">
        <f t="shared" si="22"/>
        <v>1452.9565217391305</v>
      </c>
      <c r="O33" s="79">
        <f t="shared" si="23"/>
        <v>1375</v>
      </c>
      <c r="P33" s="94">
        <f t="shared" si="24"/>
        <v>-77.9565217391305</v>
      </c>
      <c r="Q33" s="69">
        <f t="shared" si="25"/>
        <v>-0.0536537195523371</v>
      </c>
      <c r="R33" s="98">
        <v>23</v>
      </c>
      <c r="S33" s="98">
        <v>23</v>
      </c>
      <c r="T33" s="89">
        <f t="shared" si="26"/>
        <v>23</v>
      </c>
      <c r="U33" s="89">
        <f t="shared" si="26"/>
        <v>23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2"/>
      </c>
      <c r="E34" s="70">
        <f t="shared" si="13"/>
      </c>
      <c r="F34" s="75">
        <f t="shared" si="14"/>
      </c>
      <c r="G34" s="78">
        <f t="shared" si="15"/>
      </c>
      <c r="H34" s="93">
        <f t="shared" si="16"/>
      </c>
      <c r="I34" s="70">
        <f t="shared" si="17"/>
      </c>
      <c r="J34" s="75">
        <f t="shared" si="18"/>
      </c>
      <c r="K34" s="78">
        <f t="shared" si="19"/>
      </c>
      <c r="L34" s="93">
        <f t="shared" si="20"/>
      </c>
      <c r="M34" s="70">
        <f t="shared" si="21"/>
      </c>
      <c r="N34" s="75">
        <f t="shared" si="22"/>
      </c>
      <c r="O34" s="78">
        <f t="shared" si="23"/>
      </c>
      <c r="P34" s="93">
        <f t="shared" si="24"/>
      </c>
      <c r="Q34" s="68">
        <f t="shared" si="25"/>
      </c>
      <c r="R34" s="65">
        <v>20</v>
      </c>
      <c r="S34" s="65">
        <v>19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2"/>
      </c>
      <c r="E35" s="70">
        <f t="shared" si="13"/>
      </c>
      <c r="F35" s="75">
        <f t="shared" si="14"/>
      </c>
      <c r="G35" s="78">
        <f t="shared" si="15"/>
      </c>
      <c r="H35" s="93">
        <f t="shared" si="16"/>
      </c>
      <c r="I35" s="70">
        <f t="shared" si="17"/>
      </c>
      <c r="J35" s="75">
        <f t="shared" si="18"/>
      </c>
      <c r="K35" s="78">
        <f t="shared" si="19"/>
      </c>
      <c r="L35" s="93">
        <f t="shared" si="20"/>
      </c>
      <c r="M35" s="70">
        <f t="shared" si="21"/>
      </c>
      <c r="N35" s="75">
        <f t="shared" si="22"/>
      </c>
      <c r="O35" s="78">
        <f t="shared" si="23"/>
      </c>
      <c r="P35" s="93">
        <f t="shared" si="24"/>
      </c>
      <c r="Q35" s="68">
        <f t="shared" si="25"/>
      </c>
      <c r="R35" s="65">
        <v>19</v>
      </c>
      <c r="S35" s="65">
        <v>22</v>
      </c>
      <c r="T35" s="89">
        <f t="shared" si="26"/>
      </c>
      <c r="U35" s="89">
        <f t="shared" si="26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2"/>
      </c>
      <c r="E36" s="71">
        <f t="shared" si="13"/>
      </c>
      <c r="F36" s="76">
        <f t="shared" si="14"/>
      </c>
      <c r="G36" s="79">
        <f t="shared" si="15"/>
      </c>
      <c r="H36" s="94">
        <f t="shared" si="16"/>
      </c>
      <c r="I36" s="71">
        <f t="shared" si="17"/>
      </c>
      <c r="J36" s="76">
        <f t="shared" si="18"/>
      </c>
      <c r="K36" s="79">
        <f t="shared" si="19"/>
      </c>
      <c r="L36" s="94">
        <f t="shared" si="20"/>
      </c>
      <c r="M36" s="71">
        <f t="shared" si="21"/>
      </c>
      <c r="N36" s="76">
        <f t="shared" si="22"/>
      </c>
      <c r="O36" s="79">
        <f t="shared" si="23"/>
      </c>
      <c r="P36" s="94">
        <f t="shared" si="24"/>
      </c>
      <c r="Q36" s="69">
        <f t="shared" si="25"/>
      </c>
      <c r="R36" s="98">
        <v>22</v>
      </c>
      <c r="S36" s="98">
        <v>20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2"/>
      </c>
      <c r="E37" s="70">
        <f t="shared" si="13"/>
      </c>
      <c r="F37" s="75">
        <f t="shared" si="14"/>
      </c>
      <c r="G37" s="78">
        <f t="shared" si="15"/>
      </c>
      <c r="H37" s="93">
        <f t="shared" si="16"/>
      </c>
      <c r="I37" s="70">
        <f t="shared" si="17"/>
      </c>
      <c r="J37" s="75">
        <f t="shared" si="18"/>
      </c>
      <c r="K37" s="78">
        <f t="shared" si="19"/>
      </c>
      <c r="L37" s="93">
        <f t="shared" si="20"/>
      </c>
      <c r="M37" s="70">
        <f t="shared" si="21"/>
      </c>
      <c r="N37" s="75">
        <f t="shared" si="22"/>
      </c>
      <c r="O37" s="78">
        <f t="shared" si="23"/>
      </c>
      <c r="P37" s="93">
        <f t="shared" si="24"/>
      </c>
      <c r="Q37" s="68">
        <f t="shared" si="25"/>
      </c>
      <c r="R37" s="65">
        <v>22</v>
      </c>
      <c r="S37" s="65">
        <v>21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2"/>
      </c>
      <c r="E38" s="70">
        <f t="shared" si="13"/>
      </c>
      <c r="F38" s="75">
        <f t="shared" si="14"/>
      </c>
      <c r="G38" s="78">
        <f t="shared" si="15"/>
      </c>
      <c r="H38" s="93">
        <f t="shared" si="16"/>
      </c>
      <c r="I38" s="70">
        <f t="shared" si="17"/>
      </c>
      <c r="J38" s="75">
        <f t="shared" si="18"/>
      </c>
      <c r="K38" s="78">
        <f t="shared" si="19"/>
      </c>
      <c r="L38" s="93">
        <f t="shared" si="20"/>
      </c>
      <c r="M38" s="70">
        <f t="shared" si="21"/>
      </c>
      <c r="N38" s="75">
        <f t="shared" si="22"/>
      </c>
      <c r="O38" s="78">
        <f t="shared" si="23"/>
      </c>
      <c r="P38" s="93">
        <f t="shared" si="24"/>
      </c>
      <c r="Q38" s="68">
        <f t="shared" si="25"/>
      </c>
      <c r="R38" s="65">
        <v>22</v>
      </c>
      <c r="S38" s="65">
        <v>22</v>
      </c>
      <c r="T38" s="89">
        <f t="shared" si="26"/>
      </c>
      <c r="U38" s="89">
        <f t="shared" si="26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2"/>
      </c>
      <c r="E39" s="71">
        <f t="shared" si="13"/>
      </c>
      <c r="F39" s="76">
        <f t="shared" si="14"/>
      </c>
      <c r="G39" s="79">
        <f t="shared" si="15"/>
      </c>
      <c r="H39" s="94">
        <f t="shared" si="16"/>
      </c>
      <c r="I39" s="71">
        <f t="shared" si="17"/>
      </c>
      <c r="J39" s="76">
        <f t="shared" si="18"/>
      </c>
      <c r="K39" s="79">
        <f t="shared" si="19"/>
      </c>
      <c r="L39" s="94">
        <f t="shared" si="20"/>
      </c>
      <c r="M39" s="71">
        <f t="shared" si="21"/>
      </c>
      <c r="N39" s="76">
        <f t="shared" si="22"/>
      </c>
      <c r="O39" s="79">
        <f t="shared" si="23"/>
      </c>
      <c r="P39" s="94">
        <f t="shared" si="24"/>
      </c>
      <c r="Q39" s="69">
        <f t="shared" si="25"/>
      </c>
      <c r="R39" s="98">
        <v>21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2"/>
      </c>
      <c r="E40" s="70">
        <f t="shared" si="13"/>
      </c>
      <c r="F40" s="75">
        <f t="shared" si="14"/>
      </c>
      <c r="G40" s="78">
        <f t="shared" si="15"/>
      </c>
      <c r="H40" s="93">
        <f t="shared" si="16"/>
      </c>
      <c r="I40" s="70">
        <f t="shared" si="17"/>
      </c>
      <c r="J40" s="75">
        <f t="shared" si="18"/>
      </c>
      <c r="K40" s="78">
        <f t="shared" si="19"/>
      </c>
      <c r="L40" s="93">
        <f t="shared" si="20"/>
      </c>
      <c r="M40" s="70">
        <f t="shared" si="21"/>
      </c>
      <c r="N40" s="75">
        <f t="shared" si="22"/>
      </c>
      <c r="O40" s="78">
        <f t="shared" si="23"/>
      </c>
      <c r="P40" s="93">
        <f t="shared" si="24"/>
      </c>
      <c r="Q40" s="68">
        <f t="shared" si="25"/>
      </c>
      <c r="R40" s="65">
        <v>22</v>
      </c>
      <c r="S40" s="65">
        <v>21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2"/>
      </c>
      <c r="E41" s="70">
        <f t="shared" si="13"/>
      </c>
      <c r="F41" s="75">
        <f t="shared" si="14"/>
      </c>
      <c r="G41" s="78">
        <f t="shared" si="15"/>
      </c>
      <c r="H41" s="93">
        <f t="shared" si="16"/>
      </c>
      <c r="I41" s="70">
        <f t="shared" si="17"/>
      </c>
      <c r="J41" s="75">
        <f t="shared" si="18"/>
      </c>
      <c r="K41" s="78">
        <f t="shared" si="19"/>
      </c>
      <c r="L41" s="93">
        <f t="shared" si="20"/>
      </c>
      <c r="M41" s="70">
        <f t="shared" si="21"/>
      </c>
      <c r="N41" s="75">
        <f t="shared" si="22"/>
      </c>
      <c r="O41" s="78">
        <f t="shared" si="23"/>
      </c>
      <c r="P41" s="93">
        <f t="shared" si="24"/>
      </c>
      <c r="Q41" s="68">
        <f t="shared" si="25"/>
      </c>
      <c r="R41" s="65">
        <v>23</v>
      </c>
      <c r="S41" s="65">
        <v>22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2"/>
      </c>
      <c r="E42" s="70">
        <f t="shared" si="13"/>
      </c>
      <c r="F42" s="75">
        <f t="shared" si="14"/>
      </c>
      <c r="G42" s="78">
        <f t="shared" si="15"/>
      </c>
      <c r="H42" s="93">
        <f t="shared" si="16"/>
      </c>
      <c r="I42" s="70">
        <f t="shared" si="17"/>
      </c>
      <c r="J42" s="75">
        <f t="shared" si="18"/>
      </c>
      <c r="K42" s="78">
        <f t="shared" si="19"/>
      </c>
      <c r="L42" s="93">
        <f t="shared" si="20"/>
      </c>
      <c r="M42" s="70">
        <f t="shared" si="21"/>
      </c>
      <c r="N42" s="75">
        <f t="shared" si="22"/>
      </c>
      <c r="O42" s="78">
        <f t="shared" si="23"/>
      </c>
      <c r="P42" s="93">
        <f t="shared" si="24"/>
      </c>
      <c r="Q42" s="68">
        <f t="shared" si="25"/>
      </c>
      <c r="R42" s="65">
        <v>22</v>
      </c>
      <c r="S42" s="65">
        <v>21</v>
      </c>
      <c r="T42" s="89">
        <f t="shared" si="26"/>
      </c>
      <c r="U42" s="89">
        <f t="shared" si="26"/>
      </c>
    </row>
    <row r="43" spans="1:21" ht="11.25" customHeight="1" thickBot="1">
      <c r="A43" s="45" t="s">
        <v>29</v>
      </c>
      <c r="B43" s="77">
        <f>AVERAGE(B31:B42)</f>
        <v>172.2992753623188</v>
      </c>
      <c r="C43" s="80">
        <f>IF(C11="","",AVERAGE(C31:C42))</f>
        <v>174.9393029675638</v>
      </c>
      <c r="D43" s="72">
        <f>IF(D31="","",AVERAGE(D31:D42))</f>
        <v>2.6400276052449954</v>
      </c>
      <c r="E43" s="62">
        <f t="shared" si="13"/>
        <v>0.015322337251235819</v>
      </c>
      <c r="F43" s="77">
        <f>AVERAGE(F31:F42)</f>
        <v>830.1202898550724</v>
      </c>
      <c r="G43" s="80">
        <f>IF(G11="","",AVERAGE(G31:G42))</f>
        <v>807.6310213940648</v>
      </c>
      <c r="H43" s="95">
        <f>IF(H31="","",AVERAGE(H31:H42))</f>
        <v>-22.489268461007594</v>
      </c>
      <c r="I43" s="62">
        <f t="shared" si="17"/>
        <v>-0.027091577854257705</v>
      </c>
      <c r="J43" s="77">
        <f>AVERAGE(J31:J42)</f>
        <v>398.71594202898547</v>
      </c>
      <c r="K43" s="80">
        <f>IF(K11="","",AVERAGE(K31:K42))</f>
        <v>360.15189786059346</v>
      </c>
      <c r="L43" s="95">
        <f>IF(L31="","",AVERAGE(L31:L42))</f>
        <v>-38.56404416839198</v>
      </c>
      <c r="M43" s="62">
        <f t="shared" si="21"/>
        <v>-0.09672059755661465</v>
      </c>
      <c r="N43" s="77">
        <f>AVERAGE(N31:N42)</f>
        <v>1401.1355072463768</v>
      </c>
      <c r="O43" s="80">
        <f>IF(O11="","",AVERAGE(O31:O42))</f>
        <v>1342.7222222222224</v>
      </c>
      <c r="P43" s="95">
        <f>IF(P31="","",AVERAGE(P31:P42))</f>
        <v>-58.4132850241546</v>
      </c>
      <c r="Q43" s="63">
        <f t="shared" si="25"/>
        <v>-0.04168996126502631</v>
      </c>
      <c r="R43" s="99">
        <f>SUM(R31:R42)</f>
        <v>256</v>
      </c>
      <c r="S43" s="99">
        <f>SUM(S31:S42)</f>
        <v>254</v>
      </c>
      <c r="T43" s="89">
        <f>SUM(T31:T42)</f>
        <v>63</v>
      </c>
      <c r="U43" s="88">
        <f>SUM(U31:U42)</f>
        <v>64</v>
      </c>
    </row>
    <row r="44" spans="1:17" s="30" customFormat="1" ht="11.25" customHeight="1">
      <c r="A44" s="86" t="s">
        <v>28</v>
      </c>
      <c r="B44" s="58"/>
      <c r="C44" s="58">
        <f>COUNTIF(C31:C42,"&gt;0")</f>
        <v>3</v>
      </c>
      <c r="D44" s="59"/>
      <c r="E44" s="60"/>
      <c r="F44" s="58"/>
      <c r="G44" s="58">
        <f>COUNTIF(G31:G42,"&gt;0")</f>
        <v>3</v>
      </c>
      <c r="H44" s="59"/>
      <c r="I44" s="60"/>
      <c r="J44" s="58"/>
      <c r="K44" s="58">
        <f>COUNTIF(K31:K42,"&gt;0")</f>
        <v>3</v>
      </c>
      <c r="L44" s="59"/>
      <c r="M44" s="60"/>
      <c r="N44" s="58"/>
      <c r="O44" s="58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B2:E2"/>
    <mergeCell ref="B3:C3"/>
    <mergeCell ref="D3:E3"/>
    <mergeCell ref="R30:S30"/>
    <mergeCell ref="B8:E8"/>
    <mergeCell ref="D29:E29"/>
    <mergeCell ref="H29:I29"/>
    <mergeCell ref="L29:M29"/>
    <mergeCell ref="F8:I8"/>
    <mergeCell ref="J8:M8"/>
    <mergeCell ref="N8:Q8"/>
    <mergeCell ref="B28:E28"/>
    <mergeCell ref="F28:I28"/>
    <mergeCell ref="B6:E7"/>
    <mergeCell ref="B26:E27"/>
    <mergeCell ref="J28:M28"/>
    <mergeCell ref="N28:Q28"/>
    <mergeCell ref="P29:Q29"/>
    <mergeCell ref="D9:E9"/>
    <mergeCell ref="H9:I9"/>
    <mergeCell ref="L9:M9"/>
    <mergeCell ref="P9:Q9"/>
  </mergeCells>
  <conditionalFormatting sqref="B13:B16 B18:B21 F13:F16 F18:F21 J13:J16 J18:J21 N13:N16 N18:N21">
    <cfRule type="expression" priority="1" dxfId="0" stopIfTrue="1">
      <formula>C13=""</formula>
    </cfRule>
  </conditionalFormatting>
  <conditionalFormatting sqref="B17 B12 B22 F17 F12 F22 J17 J12 J22 N17 N12 N22">
    <cfRule type="expression" priority="2" dxfId="0" stopIfTrue="1">
      <formula>C12=""</formula>
    </cfRule>
  </conditionalFormatting>
  <conditionalFormatting sqref="R31:S43">
    <cfRule type="expression" priority="3" dxfId="3" stopIfTrue="1">
      <formula>R31&lt;$R31</formula>
    </cfRule>
    <cfRule type="expression" priority="4" dxfId="2" stopIfTrue="1">
      <formula>R31&gt;$R31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6" t="s">
        <v>18</v>
      </c>
      <c r="B2" s="137" t="s">
        <v>26</v>
      </c>
      <c r="C2" s="137"/>
      <c r="D2" s="137"/>
      <c r="E2" s="137"/>
      <c r="Q2" s="92"/>
    </row>
    <row r="3" spans="1:17" ht="13.5" customHeight="1">
      <c r="A3" s="1"/>
      <c r="B3" s="128" t="s">
        <v>20</v>
      </c>
      <c r="C3" s="128"/>
      <c r="D3" s="141" t="s">
        <v>19</v>
      </c>
      <c r="E3" s="141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256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14763</v>
      </c>
      <c r="C11" s="47">
        <v>14464</v>
      </c>
      <c r="D11" s="21">
        <f aca="true" t="shared" si="0" ref="D11:D22">IF(C11="","",C11-B11)</f>
        <v>-299</v>
      </c>
      <c r="E11" s="68">
        <f aca="true" t="shared" si="1" ref="E11:E23">IF(D11="","",D11/B11)</f>
        <v>-0.020253336042809728</v>
      </c>
      <c r="F11" s="38">
        <v>14380</v>
      </c>
      <c r="G11" s="47">
        <v>12840</v>
      </c>
      <c r="H11" s="21">
        <f aca="true" t="shared" si="2" ref="H11:H22">IF(G11="","",G11-F11)</f>
        <v>-1540</v>
      </c>
      <c r="I11" s="68">
        <f aca="true" t="shared" si="3" ref="I11:I23">IF(H11="","",H11/F11)</f>
        <v>-0.1070931849791377</v>
      </c>
      <c r="J11" s="38">
        <v>2397</v>
      </c>
      <c r="K11" s="47">
        <v>2246</v>
      </c>
      <c r="L11" s="21">
        <f aca="true" t="shared" si="4" ref="L11:L22">IF(K11="","",K11-J11)</f>
        <v>-151</v>
      </c>
      <c r="M11" s="68">
        <f aca="true" t="shared" si="5" ref="M11:M23">IF(L11="","",L11/J11)</f>
        <v>-0.06299541093032958</v>
      </c>
      <c r="N11" s="38">
        <f>SUM(B11,F11,J11)</f>
        <v>31540</v>
      </c>
      <c r="O11" s="34">
        <f aca="true" t="shared" si="6" ref="O11:O22">IF(C11="","",SUM(C11,G11,K11))</f>
        <v>29550</v>
      </c>
      <c r="P11" s="21">
        <f aca="true" t="shared" si="7" ref="P11:P22">IF(O11="","",O11-N11)</f>
        <v>-1990</v>
      </c>
      <c r="Q11" s="68">
        <f aca="true" t="shared" si="8" ref="Q11:Q23">IF(P11="","",P11/N11)</f>
        <v>-0.06309448319594166</v>
      </c>
    </row>
    <row r="12" spans="1:17" ht="11.25" customHeight="1">
      <c r="A12" s="20" t="s">
        <v>7</v>
      </c>
      <c r="B12" s="38">
        <v>15526</v>
      </c>
      <c r="C12" s="47">
        <v>14702</v>
      </c>
      <c r="D12" s="21">
        <f t="shared" si="0"/>
        <v>-824</v>
      </c>
      <c r="E12" s="68">
        <f t="shared" si="1"/>
        <v>-0.0530722658765941</v>
      </c>
      <c r="F12" s="38">
        <v>15171</v>
      </c>
      <c r="G12" s="47">
        <v>13408</v>
      </c>
      <c r="H12" s="21">
        <f t="shared" si="2"/>
        <v>-1763</v>
      </c>
      <c r="I12" s="68">
        <f t="shared" si="3"/>
        <v>-0.11620855579724475</v>
      </c>
      <c r="J12" s="38">
        <v>2528</v>
      </c>
      <c r="K12" s="47">
        <v>2357</v>
      </c>
      <c r="L12" s="21">
        <f t="shared" si="4"/>
        <v>-171</v>
      </c>
      <c r="M12" s="68">
        <f t="shared" si="5"/>
        <v>-0.06764240506329114</v>
      </c>
      <c r="N12" s="38">
        <f aca="true" t="shared" si="9" ref="N12:N22">SUM(B12,F12,J12)</f>
        <v>33225</v>
      </c>
      <c r="O12" s="34">
        <f t="shared" si="6"/>
        <v>30467</v>
      </c>
      <c r="P12" s="21">
        <f t="shared" si="7"/>
        <v>-2758</v>
      </c>
      <c r="Q12" s="68">
        <f t="shared" si="8"/>
        <v>-0.08300978179082016</v>
      </c>
    </row>
    <row r="13" spans="1:17" ht="11.25" customHeight="1">
      <c r="A13" s="27" t="s">
        <v>8</v>
      </c>
      <c r="B13" s="40">
        <v>18798</v>
      </c>
      <c r="C13" s="48">
        <v>16476</v>
      </c>
      <c r="D13" s="22">
        <f t="shared" si="0"/>
        <v>-2322</v>
      </c>
      <c r="E13" s="69">
        <f t="shared" si="1"/>
        <v>-0.12352377912543888</v>
      </c>
      <c r="F13" s="40">
        <v>16022</v>
      </c>
      <c r="G13" s="48">
        <v>14240</v>
      </c>
      <c r="H13" s="22">
        <f t="shared" si="2"/>
        <v>-1782</v>
      </c>
      <c r="I13" s="69">
        <f t="shared" si="3"/>
        <v>-0.11122206965422544</v>
      </c>
      <c r="J13" s="40">
        <v>2867</v>
      </c>
      <c r="K13" s="48">
        <v>2629</v>
      </c>
      <c r="L13" s="22">
        <f t="shared" si="4"/>
        <v>-238</v>
      </c>
      <c r="M13" s="69">
        <f t="shared" si="5"/>
        <v>-0.08301360306941054</v>
      </c>
      <c r="N13" s="40">
        <f t="shared" si="9"/>
        <v>37687</v>
      </c>
      <c r="O13" s="35">
        <f t="shared" si="6"/>
        <v>33345</v>
      </c>
      <c r="P13" s="22">
        <f t="shared" si="7"/>
        <v>-4342</v>
      </c>
      <c r="Q13" s="69">
        <f t="shared" si="8"/>
        <v>-0.11521214211797172</v>
      </c>
    </row>
    <row r="14" spans="1:17" ht="11.25" customHeight="1">
      <c r="A14" s="20" t="s">
        <v>9</v>
      </c>
      <c r="B14" s="38">
        <v>16236</v>
      </c>
      <c r="C14" s="47"/>
      <c r="D14" s="21">
        <f t="shared" si="0"/>
      </c>
      <c r="E14" s="68">
        <f t="shared" si="1"/>
      </c>
      <c r="F14" s="38">
        <v>13953</v>
      </c>
      <c r="G14" s="47"/>
      <c r="H14" s="21">
        <f t="shared" si="2"/>
      </c>
      <c r="I14" s="68">
        <f t="shared" si="3"/>
      </c>
      <c r="J14" s="38">
        <v>2485</v>
      </c>
      <c r="K14" s="47"/>
      <c r="L14" s="21">
        <f t="shared" si="4"/>
      </c>
      <c r="M14" s="68">
        <f t="shared" si="5"/>
      </c>
      <c r="N14" s="38">
        <f t="shared" si="9"/>
        <v>32674</v>
      </c>
      <c r="O14" s="34">
        <f t="shared" si="6"/>
      </c>
      <c r="P14" s="21">
        <f t="shared" si="7"/>
      </c>
      <c r="Q14" s="68">
        <f t="shared" si="8"/>
      </c>
    </row>
    <row r="15" spans="1:17" ht="11.25" customHeight="1">
      <c r="A15" s="20" t="s">
        <v>10</v>
      </c>
      <c r="B15" s="38">
        <v>18712</v>
      </c>
      <c r="C15" s="47"/>
      <c r="D15" s="21">
        <f t="shared" si="0"/>
      </c>
      <c r="E15" s="68">
        <f t="shared" si="1"/>
      </c>
      <c r="F15" s="38">
        <v>14886</v>
      </c>
      <c r="G15" s="47"/>
      <c r="H15" s="21">
        <f t="shared" si="2"/>
      </c>
      <c r="I15" s="68">
        <f t="shared" si="3"/>
      </c>
      <c r="J15" s="38">
        <v>2762</v>
      </c>
      <c r="K15" s="47"/>
      <c r="L15" s="21">
        <f t="shared" si="4"/>
      </c>
      <c r="M15" s="68">
        <f t="shared" si="5"/>
      </c>
      <c r="N15" s="38">
        <f t="shared" si="9"/>
        <v>36360</v>
      </c>
      <c r="O15" s="34">
        <f t="shared" si="6"/>
      </c>
      <c r="P15" s="21">
        <f t="shared" si="7"/>
      </c>
      <c r="Q15" s="68">
        <f t="shared" si="8"/>
      </c>
    </row>
    <row r="16" spans="1:17" ht="11.25" customHeight="1">
      <c r="A16" s="27" t="s">
        <v>11</v>
      </c>
      <c r="B16" s="40">
        <v>15384</v>
      </c>
      <c r="C16" s="48"/>
      <c r="D16" s="22">
        <f t="shared" si="0"/>
      </c>
      <c r="E16" s="69">
        <f t="shared" si="1"/>
      </c>
      <c r="F16" s="40">
        <v>13265</v>
      </c>
      <c r="G16" s="48"/>
      <c r="H16" s="22">
        <f t="shared" si="2"/>
      </c>
      <c r="I16" s="69">
        <f t="shared" si="3"/>
      </c>
      <c r="J16" s="40">
        <v>2361</v>
      </c>
      <c r="K16" s="48"/>
      <c r="L16" s="22">
        <f t="shared" si="4"/>
      </c>
      <c r="M16" s="69">
        <f t="shared" si="5"/>
      </c>
      <c r="N16" s="40">
        <f t="shared" si="9"/>
        <v>31010</v>
      </c>
      <c r="O16" s="35">
        <f t="shared" si="6"/>
      </c>
      <c r="P16" s="22">
        <f t="shared" si="7"/>
      </c>
      <c r="Q16" s="69">
        <f t="shared" si="8"/>
      </c>
    </row>
    <row r="17" spans="1:17" ht="11.25" customHeight="1">
      <c r="A17" s="20" t="s">
        <v>12</v>
      </c>
      <c r="B17" s="38">
        <v>16761</v>
      </c>
      <c r="C17" s="47"/>
      <c r="D17" s="21">
        <f t="shared" si="0"/>
      </c>
      <c r="E17" s="68">
        <f t="shared" si="1"/>
      </c>
      <c r="F17" s="38">
        <v>14092</v>
      </c>
      <c r="G17" s="47"/>
      <c r="H17" s="21">
        <f t="shared" si="2"/>
      </c>
      <c r="I17" s="68">
        <f t="shared" si="3"/>
      </c>
      <c r="J17" s="38">
        <v>2538</v>
      </c>
      <c r="K17" s="47"/>
      <c r="L17" s="21">
        <f t="shared" si="4"/>
      </c>
      <c r="M17" s="68">
        <f t="shared" si="5"/>
      </c>
      <c r="N17" s="38">
        <f t="shared" si="9"/>
        <v>33391</v>
      </c>
      <c r="O17" s="34">
        <f t="shared" si="6"/>
      </c>
      <c r="P17" s="21">
        <f t="shared" si="7"/>
      </c>
      <c r="Q17" s="68">
        <f t="shared" si="8"/>
      </c>
    </row>
    <row r="18" spans="1:17" ht="11.25" customHeight="1">
      <c r="A18" s="20" t="s">
        <v>13</v>
      </c>
      <c r="B18" s="38">
        <v>17239</v>
      </c>
      <c r="C18" s="47"/>
      <c r="D18" s="21">
        <f t="shared" si="0"/>
      </c>
      <c r="E18" s="68">
        <f t="shared" si="1"/>
      </c>
      <c r="F18" s="38">
        <v>11658</v>
      </c>
      <c r="G18" s="47"/>
      <c r="H18" s="21">
        <f t="shared" si="2"/>
      </c>
      <c r="I18" s="68">
        <f t="shared" si="3"/>
      </c>
      <c r="J18" s="38">
        <v>2367</v>
      </c>
      <c r="K18" s="47"/>
      <c r="L18" s="21">
        <f t="shared" si="4"/>
      </c>
      <c r="M18" s="68">
        <f t="shared" si="5"/>
      </c>
      <c r="N18" s="38">
        <f t="shared" si="9"/>
        <v>31264</v>
      </c>
      <c r="O18" s="34">
        <f t="shared" si="6"/>
      </c>
      <c r="P18" s="21">
        <f t="shared" si="7"/>
      </c>
      <c r="Q18" s="68">
        <f t="shared" si="8"/>
      </c>
    </row>
    <row r="19" spans="1:17" ht="11.25" customHeight="1">
      <c r="A19" s="27" t="s">
        <v>14</v>
      </c>
      <c r="B19" s="40">
        <v>17754</v>
      </c>
      <c r="C19" s="48"/>
      <c r="D19" s="22">
        <f t="shared" si="0"/>
      </c>
      <c r="E19" s="69">
        <f t="shared" si="1"/>
      </c>
      <c r="F19" s="40">
        <v>14963</v>
      </c>
      <c r="G19" s="48"/>
      <c r="H19" s="22">
        <f t="shared" si="2"/>
      </c>
      <c r="I19" s="69">
        <f t="shared" si="3"/>
      </c>
      <c r="J19" s="40">
        <v>2695</v>
      </c>
      <c r="K19" s="48"/>
      <c r="L19" s="22">
        <f t="shared" si="4"/>
      </c>
      <c r="M19" s="69">
        <f t="shared" si="5"/>
      </c>
      <c r="N19" s="40">
        <f t="shared" si="9"/>
        <v>35412</v>
      </c>
      <c r="O19" s="35">
        <f t="shared" si="6"/>
      </c>
      <c r="P19" s="22">
        <f t="shared" si="7"/>
      </c>
      <c r="Q19" s="69">
        <f t="shared" si="8"/>
      </c>
    </row>
    <row r="20" spans="1:17" ht="11.25" customHeight="1">
      <c r="A20" s="20" t="s">
        <v>15</v>
      </c>
      <c r="B20" s="38">
        <v>16878</v>
      </c>
      <c r="C20" s="47"/>
      <c r="D20" s="21">
        <f t="shared" si="0"/>
      </c>
      <c r="E20" s="68">
        <f t="shared" si="1"/>
      </c>
      <c r="F20" s="38">
        <v>13669</v>
      </c>
      <c r="G20" s="47"/>
      <c r="H20" s="21">
        <f t="shared" si="2"/>
      </c>
      <c r="I20" s="68">
        <f t="shared" si="3"/>
      </c>
      <c r="J20" s="38">
        <v>2521</v>
      </c>
      <c r="K20" s="47"/>
      <c r="L20" s="21">
        <f t="shared" si="4"/>
      </c>
      <c r="M20" s="68">
        <f t="shared" si="5"/>
      </c>
      <c r="N20" s="38">
        <f t="shared" si="9"/>
        <v>33068</v>
      </c>
      <c r="O20" s="34">
        <f t="shared" si="6"/>
      </c>
      <c r="P20" s="21">
        <f t="shared" si="7"/>
      </c>
      <c r="Q20" s="68">
        <f t="shared" si="8"/>
      </c>
    </row>
    <row r="21" spans="1:17" ht="11.25" customHeight="1">
      <c r="A21" s="20" t="s">
        <v>16</v>
      </c>
      <c r="B21" s="38">
        <v>17486</v>
      </c>
      <c r="C21" s="47"/>
      <c r="D21" s="21">
        <f t="shared" si="0"/>
      </c>
      <c r="E21" s="68">
        <f t="shared" si="1"/>
      </c>
      <c r="F21" s="38">
        <v>14291</v>
      </c>
      <c r="G21" s="47"/>
      <c r="H21" s="21">
        <f t="shared" si="2"/>
      </c>
      <c r="I21" s="68">
        <f t="shared" si="3"/>
      </c>
      <c r="J21" s="38">
        <v>2615</v>
      </c>
      <c r="K21" s="47"/>
      <c r="L21" s="21">
        <f t="shared" si="4"/>
      </c>
      <c r="M21" s="68">
        <f t="shared" si="5"/>
      </c>
      <c r="N21" s="38">
        <f t="shared" si="9"/>
        <v>34392</v>
      </c>
      <c r="O21" s="34">
        <f t="shared" si="6"/>
      </c>
      <c r="P21" s="21">
        <f t="shared" si="7"/>
      </c>
      <c r="Q21" s="68">
        <f t="shared" si="8"/>
      </c>
    </row>
    <row r="22" spans="1:17" ht="11.25" customHeight="1" thickBot="1">
      <c r="A22" s="23" t="s">
        <v>17</v>
      </c>
      <c r="B22" s="39">
        <v>14410</v>
      </c>
      <c r="C22" s="49"/>
      <c r="D22" s="21">
        <f t="shared" si="0"/>
      </c>
      <c r="E22" s="54">
        <f t="shared" si="1"/>
      </c>
      <c r="F22" s="39">
        <v>11604</v>
      </c>
      <c r="G22" s="49"/>
      <c r="H22" s="21">
        <f t="shared" si="2"/>
      </c>
      <c r="I22" s="54">
        <f t="shared" si="3"/>
      </c>
      <c r="J22" s="39">
        <v>2183</v>
      </c>
      <c r="K22" s="49"/>
      <c r="L22" s="21">
        <f t="shared" si="4"/>
      </c>
      <c r="M22" s="54">
        <f t="shared" si="5"/>
      </c>
      <c r="N22" s="39">
        <f t="shared" si="9"/>
        <v>28197</v>
      </c>
      <c r="O22" s="36">
        <f t="shared" si="6"/>
      </c>
      <c r="P22" s="21">
        <f t="shared" si="7"/>
      </c>
      <c r="Q22" s="54">
        <f t="shared" si="8"/>
      </c>
    </row>
    <row r="23" spans="1:17" ht="11.25" customHeight="1" thickBot="1">
      <c r="A23" s="44" t="s">
        <v>3</v>
      </c>
      <c r="B23" s="41">
        <f>IF(C24&lt;7,B24,B25)</f>
        <v>49087</v>
      </c>
      <c r="C23" s="42">
        <f>IF(C11="","",SUM(C11:C22))</f>
        <v>45642</v>
      </c>
      <c r="D23" s="43">
        <f>IF(D11="","",SUM(D11:D22))</f>
        <v>-3445</v>
      </c>
      <c r="E23" s="61">
        <f t="shared" si="1"/>
        <v>-0.07018151445392874</v>
      </c>
      <c r="F23" s="41">
        <f>IF(G24&lt;7,F24,F25)</f>
        <v>45573</v>
      </c>
      <c r="G23" s="42">
        <f>IF(G11="","",SUM(G11:G22))</f>
        <v>40488</v>
      </c>
      <c r="H23" s="43">
        <f>IF(H11="","",SUM(H11:H22))</f>
        <v>-5085</v>
      </c>
      <c r="I23" s="61">
        <f t="shared" si="3"/>
        <v>-0.11157922454084655</v>
      </c>
      <c r="J23" s="41">
        <f>IF(K24&lt;7,J24,J25)</f>
        <v>7792</v>
      </c>
      <c r="K23" s="42">
        <f>IF(K11="","",SUM(K11:K22))</f>
        <v>7232</v>
      </c>
      <c r="L23" s="43">
        <f>IF(L11="","",SUM(L11:L22))</f>
        <v>-560</v>
      </c>
      <c r="M23" s="61">
        <f t="shared" si="5"/>
        <v>-0.07186858316221766</v>
      </c>
      <c r="N23" s="41">
        <f>IF(O24&lt;7,N24,N25)</f>
        <v>102452</v>
      </c>
      <c r="O23" s="42">
        <f>IF(O11="","",SUM(O11:O22))</f>
        <v>93362</v>
      </c>
      <c r="P23" s="43">
        <f>IF(P11="","",SUM(P11:P22))</f>
        <v>-9090</v>
      </c>
      <c r="Q23" s="61">
        <f t="shared" si="8"/>
        <v>-0.08872447585210635</v>
      </c>
    </row>
    <row r="24" spans="1:17" ht="11.25" customHeight="1">
      <c r="A24" s="85" t="s">
        <v>28</v>
      </c>
      <c r="B24" s="90">
        <f>IF(C24=1,B11,IF(C24=2,SUM(B11:B12),IF(C24=3,SUM(B11:B13),IF(C24=4,SUM(B11:B14),IF(C24=5,SUM(B11:B15),IF(C24=6,SUM(B11:B16),""))))))</f>
        <v>49087</v>
      </c>
      <c r="C24" s="56">
        <f>COUNTIF(C11:C22,"&gt;0")</f>
        <v>3</v>
      </c>
      <c r="D24" s="56"/>
      <c r="E24" s="57"/>
      <c r="F24" s="90">
        <f>IF(G24=1,F11,IF(G24=2,SUM(F11:F12),IF(G24=3,SUM(F11:F13),IF(G24=4,SUM(F11:F14),IF(G24=5,SUM(F11:F15),IF(G24=6,SUM(F11:F16),""))))))</f>
        <v>45573</v>
      </c>
      <c r="G24" s="56">
        <f>COUNTIF(G11:G22,"&gt;0")</f>
        <v>3</v>
      </c>
      <c r="H24" s="56"/>
      <c r="I24" s="57"/>
      <c r="J24" s="90">
        <f>IF(K24=1,J11,IF(K24=2,SUM(J11:J12),IF(K24=3,SUM(J11:J13),IF(K24=4,SUM(J11:J14),IF(K24=5,SUM(J11:J15),IF(K24=6,SUM(J11:J16),""))))))</f>
        <v>7792</v>
      </c>
      <c r="K24" s="56">
        <f>COUNTIF(K11:K22,"&gt;0")</f>
        <v>3</v>
      </c>
      <c r="L24" s="56"/>
      <c r="M24" s="57"/>
      <c r="N24" s="90">
        <f>IF(O24=1,N11,IF(O24=2,SUM(N11:N12),IF(O24=3,SUM(N11:N13),IF(O24=4,SUM(N11:N14),IF(O24=5,SUM(N11:N15),IF(O24=6,SUM(N11:N16),""))))))</f>
        <v>102452</v>
      </c>
      <c r="O24" s="56">
        <f>COUNTIF(O11:O22,"&gt;0")</f>
        <v>3</v>
      </c>
      <c r="P24" s="24"/>
      <c r="Q24" s="25"/>
    </row>
    <row r="25" spans="2:14" ht="11.25" customHeight="1">
      <c r="B25" s="88">
        <f>IF(C24=7,SUM(B11:B17),IF(C24=8,SUM(B11:B18),IF(C24=9,SUM(B11:B19),IF(C24=10,SUM(B11:B20),IF(C24=11,SUM(B11:B21),SUM(B11:B22))))))</f>
        <v>199947</v>
      </c>
      <c r="F25" s="88">
        <f>IF(G24=7,SUM(F11:F17),IF(G24=8,SUM(F11:F18),IF(G24=9,SUM(F11:F19),IF(G24=10,SUM(F11:F20),IF(G24=11,SUM(F11:F21),SUM(F11:F22))))))</f>
        <v>167954</v>
      </c>
      <c r="J25" s="88">
        <f>IF(K24=7,SUM(J11:J17),IF(K24=8,SUM(J11:J18),IF(K24=9,SUM(J11:J19),IF(K24=10,SUM(J11:J20),IF(K24=11,SUM(J11:J21),SUM(J11:J22))))))</f>
        <v>30319</v>
      </c>
      <c r="N25" s="88">
        <f>IF(O24=7,SUM(N11:N17),IF(O24=8,SUM(N11:N18),IF(O24=9,SUM(N11:N19),IF(O24=10,SUM(N11:N20),IF(O24=11,SUM(N11:N21),SUM(N11:N22))))))</f>
        <v>398220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63</v>
      </c>
      <c r="C30" s="12">
        <f>U43</f>
        <v>64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>IF(C11="","",B11/$R31)</f>
        <v>738.15</v>
      </c>
      <c r="C31" s="78">
        <f>IF(C11="","",C11/$S31)</f>
        <v>688.7619047619048</v>
      </c>
      <c r="D31" s="74">
        <f>IF(C31="","",C31-B31)</f>
        <v>-49.38809523809516</v>
      </c>
      <c r="E31" s="70">
        <f>IF(C31="","",(C31-B31)/ABS(B31))</f>
        <v>-0.06690793908839011</v>
      </c>
      <c r="F31" s="75">
        <f>IF(G11="","",F11/$R31)</f>
        <v>719</v>
      </c>
      <c r="G31" s="78">
        <f>IF(G11="","",G11/$S31)</f>
        <v>611.4285714285714</v>
      </c>
      <c r="H31" s="93">
        <f>IF(G31="","",G31-F31)</f>
        <v>-107.57142857142856</v>
      </c>
      <c r="I31" s="70">
        <f>IF(G31="","",(G31-F31)/ABS(F31))</f>
        <v>-0.14961255712298827</v>
      </c>
      <c r="J31" s="75">
        <f>IF(K11="","",J11/$R31)</f>
        <v>119.85</v>
      </c>
      <c r="K31" s="78">
        <f>IF(K11="","",K11/$S31)</f>
        <v>106.95238095238095</v>
      </c>
      <c r="L31" s="93">
        <f>IF(K31="","",K31-J31)</f>
        <v>-12.897619047619045</v>
      </c>
      <c r="M31" s="70">
        <f>IF(K31="","",(K31-J31)/ABS(J31))</f>
        <v>-0.10761467707650435</v>
      </c>
      <c r="N31" s="75">
        <f>IF(O11="","",N11/$R31)</f>
        <v>1577</v>
      </c>
      <c r="O31" s="78">
        <f>IF(O11="","",O11/$S31)</f>
        <v>1407.142857142857</v>
      </c>
      <c r="P31" s="93">
        <f>IF(O31="","",O31-N31)</f>
        <v>-169.8571428571429</v>
      </c>
      <c r="Q31" s="68">
        <f>IF(O31="","",(O31-N31)/ABS(N31))</f>
        <v>-0.10770903161518255</v>
      </c>
      <c r="R31" s="65">
        <v>20</v>
      </c>
      <c r="S31" s="65">
        <v>21</v>
      </c>
      <c r="T31" s="89">
        <f>IF(OR(N31="",N31=0),"",R31)</f>
        <v>20</v>
      </c>
      <c r="U31" s="89">
        <f>IF(OR(O31="",O31=0),"",S31)</f>
        <v>21</v>
      </c>
    </row>
    <row r="32" spans="1:21" ht="11.25" customHeight="1">
      <c r="A32" s="20" t="s">
        <v>7</v>
      </c>
      <c r="B32" s="75">
        <f aca="true" t="shared" si="10" ref="B32:B42">IF(C12="","",B12/$R32)</f>
        <v>776.3</v>
      </c>
      <c r="C32" s="78">
        <f aca="true" t="shared" si="11" ref="C32:C42">IF(C12="","",C12/$S32)</f>
        <v>735.1</v>
      </c>
      <c r="D32" s="74">
        <f aca="true" t="shared" si="12" ref="D32:D42">IF(C32="","",C32-B32)</f>
        <v>-41.19999999999993</v>
      </c>
      <c r="E32" s="70">
        <f aca="true" t="shared" si="13" ref="E32:E43">IF(C32="","",(C32-B32)/ABS(B32))</f>
        <v>-0.05307226587659401</v>
      </c>
      <c r="F32" s="75">
        <f aca="true" t="shared" si="14" ref="F32:F42">IF(G12="","",F12/$R32)</f>
        <v>758.55</v>
      </c>
      <c r="G32" s="78">
        <f aca="true" t="shared" si="15" ref="G32:G42">IF(G12="","",G12/$S32)</f>
        <v>670.4</v>
      </c>
      <c r="H32" s="93">
        <f aca="true" t="shared" si="16" ref="H32:H42">IF(G32="","",G32-F32)</f>
        <v>-88.14999999999998</v>
      </c>
      <c r="I32" s="70">
        <f aca="true" t="shared" si="17" ref="I32:I43">IF(G32="","",(G32-F32)/ABS(F32))</f>
        <v>-0.11620855579724472</v>
      </c>
      <c r="J32" s="75">
        <f aca="true" t="shared" si="18" ref="J32:J42">IF(K12="","",J12/$R32)</f>
        <v>126.4</v>
      </c>
      <c r="K32" s="78">
        <f aca="true" t="shared" si="19" ref="K32:K42">IF(K12="","",K12/$S32)</f>
        <v>117.85</v>
      </c>
      <c r="L32" s="93">
        <f aca="true" t="shared" si="20" ref="L32:L42">IF(K32="","",K32-J32)</f>
        <v>-8.550000000000011</v>
      </c>
      <c r="M32" s="70">
        <f aca="true" t="shared" si="21" ref="M32:M43">IF(K32="","",(K32-J32)/ABS(J32))</f>
        <v>-0.06764240506329122</v>
      </c>
      <c r="N32" s="75">
        <f aca="true" t="shared" si="22" ref="N32:N42">IF(O12="","",N12/$R32)</f>
        <v>1661.25</v>
      </c>
      <c r="O32" s="78">
        <f aca="true" t="shared" si="23" ref="O32:O42">IF(O12="","",O12/$S32)</f>
        <v>1523.35</v>
      </c>
      <c r="P32" s="93">
        <f aca="true" t="shared" si="24" ref="P32:P42">IF(O32="","",O32-N32)</f>
        <v>-137.9000000000001</v>
      </c>
      <c r="Q32" s="68">
        <f aca="true" t="shared" si="25" ref="Q32:Q43">IF(O32="","",(O32-N32)/ABS(N32))</f>
        <v>-0.08300978179082022</v>
      </c>
      <c r="R32" s="65"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46" t="s">
        <v>8</v>
      </c>
      <c r="B33" s="76">
        <f t="shared" si="10"/>
        <v>817.304347826087</v>
      </c>
      <c r="C33" s="79">
        <f t="shared" si="11"/>
        <v>716.3478260869565</v>
      </c>
      <c r="D33" s="81">
        <f t="shared" si="12"/>
        <v>-100.9565217391305</v>
      </c>
      <c r="E33" s="71">
        <f t="shared" si="13"/>
        <v>-0.12352377912543894</v>
      </c>
      <c r="F33" s="76">
        <f t="shared" si="14"/>
        <v>696.6086956521739</v>
      </c>
      <c r="G33" s="79">
        <f t="shared" si="15"/>
        <v>619.1304347826087</v>
      </c>
      <c r="H33" s="94">
        <f t="shared" si="16"/>
        <v>-77.47826086956513</v>
      </c>
      <c r="I33" s="71">
        <f t="shared" si="17"/>
        <v>-0.11122206965422532</v>
      </c>
      <c r="J33" s="76">
        <f t="shared" si="18"/>
        <v>124.65217391304348</v>
      </c>
      <c r="K33" s="79">
        <f t="shared" si="19"/>
        <v>114.30434782608695</v>
      </c>
      <c r="L33" s="94">
        <f t="shared" si="20"/>
        <v>-10.34782608695653</v>
      </c>
      <c r="M33" s="71">
        <f t="shared" si="21"/>
        <v>-0.0830136030694106</v>
      </c>
      <c r="N33" s="76">
        <f t="shared" si="22"/>
        <v>1638.5652173913043</v>
      </c>
      <c r="O33" s="79">
        <f t="shared" si="23"/>
        <v>1449.7826086956522</v>
      </c>
      <c r="P33" s="94">
        <f t="shared" si="24"/>
        <v>-188.78260869565202</v>
      </c>
      <c r="Q33" s="69">
        <f t="shared" si="25"/>
        <v>-0.11521214211797162</v>
      </c>
      <c r="R33" s="98">
        <v>23</v>
      </c>
      <c r="S33" s="98">
        <v>23</v>
      </c>
      <c r="T33" s="89">
        <f t="shared" si="26"/>
        <v>23</v>
      </c>
      <c r="U33" s="89">
        <f t="shared" si="26"/>
        <v>23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2"/>
      </c>
      <c r="E34" s="70">
        <f t="shared" si="13"/>
      </c>
      <c r="F34" s="75">
        <f t="shared" si="14"/>
      </c>
      <c r="G34" s="78">
        <f t="shared" si="15"/>
      </c>
      <c r="H34" s="93">
        <f t="shared" si="16"/>
      </c>
      <c r="I34" s="70">
        <f t="shared" si="17"/>
      </c>
      <c r="J34" s="75">
        <f t="shared" si="18"/>
      </c>
      <c r="K34" s="78">
        <f t="shared" si="19"/>
      </c>
      <c r="L34" s="93">
        <f t="shared" si="20"/>
      </c>
      <c r="M34" s="70">
        <f t="shared" si="21"/>
      </c>
      <c r="N34" s="75">
        <f t="shared" si="22"/>
      </c>
      <c r="O34" s="78">
        <f t="shared" si="23"/>
      </c>
      <c r="P34" s="93">
        <f t="shared" si="24"/>
      </c>
      <c r="Q34" s="68">
        <f t="shared" si="25"/>
      </c>
      <c r="R34" s="65">
        <v>20</v>
      </c>
      <c r="S34" s="65">
        <v>19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2"/>
      </c>
      <c r="E35" s="70">
        <f t="shared" si="13"/>
      </c>
      <c r="F35" s="75">
        <f t="shared" si="14"/>
      </c>
      <c r="G35" s="78">
        <f t="shared" si="15"/>
      </c>
      <c r="H35" s="93">
        <f t="shared" si="16"/>
      </c>
      <c r="I35" s="70">
        <f t="shared" si="17"/>
      </c>
      <c r="J35" s="75">
        <f t="shared" si="18"/>
      </c>
      <c r="K35" s="78">
        <f t="shared" si="19"/>
      </c>
      <c r="L35" s="93">
        <f t="shared" si="20"/>
      </c>
      <c r="M35" s="70">
        <f t="shared" si="21"/>
      </c>
      <c r="N35" s="75">
        <f t="shared" si="22"/>
      </c>
      <c r="O35" s="78">
        <f t="shared" si="23"/>
      </c>
      <c r="P35" s="93">
        <f t="shared" si="24"/>
      </c>
      <c r="Q35" s="68">
        <f t="shared" si="25"/>
      </c>
      <c r="R35" s="65">
        <v>19</v>
      </c>
      <c r="S35" s="65">
        <v>22</v>
      </c>
      <c r="T35" s="89">
        <f t="shared" si="26"/>
      </c>
      <c r="U35" s="89">
        <f t="shared" si="26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2"/>
      </c>
      <c r="E36" s="71">
        <f t="shared" si="13"/>
      </c>
      <c r="F36" s="76">
        <f t="shared" si="14"/>
      </c>
      <c r="G36" s="79">
        <f t="shared" si="15"/>
      </c>
      <c r="H36" s="94">
        <f t="shared" si="16"/>
      </c>
      <c r="I36" s="71">
        <f t="shared" si="17"/>
      </c>
      <c r="J36" s="76">
        <f t="shared" si="18"/>
      </c>
      <c r="K36" s="79">
        <f t="shared" si="19"/>
      </c>
      <c r="L36" s="94">
        <f t="shared" si="20"/>
      </c>
      <c r="M36" s="71">
        <f t="shared" si="21"/>
      </c>
      <c r="N36" s="76">
        <f t="shared" si="22"/>
      </c>
      <c r="O36" s="79">
        <f t="shared" si="23"/>
      </c>
      <c r="P36" s="94">
        <f t="shared" si="24"/>
      </c>
      <c r="Q36" s="69">
        <f t="shared" si="25"/>
      </c>
      <c r="R36" s="98">
        <v>22</v>
      </c>
      <c r="S36" s="98">
        <v>20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2"/>
      </c>
      <c r="E37" s="70">
        <f t="shared" si="13"/>
      </c>
      <c r="F37" s="75">
        <f t="shared" si="14"/>
      </c>
      <c r="G37" s="78">
        <f t="shared" si="15"/>
      </c>
      <c r="H37" s="93">
        <f t="shared" si="16"/>
      </c>
      <c r="I37" s="70">
        <f t="shared" si="17"/>
      </c>
      <c r="J37" s="75">
        <f t="shared" si="18"/>
      </c>
      <c r="K37" s="78">
        <f t="shared" si="19"/>
      </c>
      <c r="L37" s="93">
        <f t="shared" si="20"/>
      </c>
      <c r="M37" s="70">
        <f t="shared" si="21"/>
      </c>
      <c r="N37" s="75">
        <f t="shared" si="22"/>
      </c>
      <c r="O37" s="78">
        <f t="shared" si="23"/>
      </c>
      <c r="P37" s="93">
        <f t="shared" si="24"/>
      </c>
      <c r="Q37" s="68">
        <f t="shared" si="25"/>
      </c>
      <c r="R37" s="65">
        <v>22</v>
      </c>
      <c r="S37" s="65">
        <v>21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2"/>
      </c>
      <c r="E38" s="70">
        <f t="shared" si="13"/>
      </c>
      <c r="F38" s="75">
        <f t="shared" si="14"/>
      </c>
      <c r="G38" s="78">
        <f t="shared" si="15"/>
      </c>
      <c r="H38" s="93">
        <f t="shared" si="16"/>
      </c>
      <c r="I38" s="70">
        <f t="shared" si="17"/>
      </c>
      <c r="J38" s="75">
        <f t="shared" si="18"/>
      </c>
      <c r="K38" s="78">
        <f t="shared" si="19"/>
      </c>
      <c r="L38" s="93">
        <f t="shared" si="20"/>
      </c>
      <c r="M38" s="70">
        <f t="shared" si="21"/>
      </c>
      <c r="N38" s="75">
        <f t="shared" si="22"/>
      </c>
      <c r="O38" s="78">
        <f t="shared" si="23"/>
      </c>
      <c r="P38" s="93">
        <f t="shared" si="24"/>
      </c>
      <c r="Q38" s="68">
        <f t="shared" si="25"/>
      </c>
      <c r="R38" s="65">
        <v>22</v>
      </c>
      <c r="S38" s="65">
        <v>22</v>
      </c>
      <c r="T38" s="89">
        <f t="shared" si="26"/>
      </c>
      <c r="U38" s="89">
        <f t="shared" si="26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2"/>
      </c>
      <c r="E39" s="71">
        <f t="shared" si="13"/>
      </c>
      <c r="F39" s="76">
        <f t="shared" si="14"/>
      </c>
      <c r="G39" s="79">
        <f t="shared" si="15"/>
      </c>
      <c r="H39" s="94">
        <f t="shared" si="16"/>
      </c>
      <c r="I39" s="71">
        <f t="shared" si="17"/>
      </c>
      <c r="J39" s="76">
        <f t="shared" si="18"/>
      </c>
      <c r="K39" s="79">
        <f t="shared" si="19"/>
      </c>
      <c r="L39" s="94">
        <f t="shared" si="20"/>
      </c>
      <c r="M39" s="71">
        <f t="shared" si="21"/>
      </c>
      <c r="N39" s="76">
        <f t="shared" si="22"/>
      </c>
      <c r="O39" s="79">
        <f t="shared" si="23"/>
      </c>
      <c r="P39" s="94">
        <f t="shared" si="24"/>
      </c>
      <c r="Q39" s="69">
        <f t="shared" si="25"/>
      </c>
      <c r="R39" s="98">
        <v>21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2"/>
      </c>
      <c r="E40" s="70">
        <f t="shared" si="13"/>
      </c>
      <c r="F40" s="75">
        <f t="shared" si="14"/>
      </c>
      <c r="G40" s="78">
        <f t="shared" si="15"/>
      </c>
      <c r="H40" s="93">
        <f t="shared" si="16"/>
      </c>
      <c r="I40" s="70">
        <f t="shared" si="17"/>
      </c>
      <c r="J40" s="75">
        <f t="shared" si="18"/>
      </c>
      <c r="K40" s="78">
        <f t="shared" si="19"/>
      </c>
      <c r="L40" s="93">
        <f t="shared" si="20"/>
      </c>
      <c r="M40" s="70">
        <f t="shared" si="21"/>
      </c>
      <c r="N40" s="75">
        <f t="shared" si="22"/>
      </c>
      <c r="O40" s="78">
        <f t="shared" si="23"/>
      </c>
      <c r="P40" s="93">
        <f t="shared" si="24"/>
      </c>
      <c r="Q40" s="68">
        <f t="shared" si="25"/>
      </c>
      <c r="R40" s="65">
        <v>22</v>
      </c>
      <c r="S40" s="65">
        <v>21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2"/>
      </c>
      <c r="E41" s="70">
        <f t="shared" si="13"/>
      </c>
      <c r="F41" s="75">
        <f t="shared" si="14"/>
      </c>
      <c r="G41" s="78">
        <f t="shared" si="15"/>
      </c>
      <c r="H41" s="93">
        <f t="shared" si="16"/>
      </c>
      <c r="I41" s="70">
        <f t="shared" si="17"/>
      </c>
      <c r="J41" s="75">
        <f t="shared" si="18"/>
      </c>
      <c r="K41" s="78">
        <f t="shared" si="19"/>
      </c>
      <c r="L41" s="93">
        <f t="shared" si="20"/>
      </c>
      <c r="M41" s="70">
        <f t="shared" si="21"/>
      </c>
      <c r="N41" s="75">
        <f t="shared" si="22"/>
      </c>
      <c r="O41" s="78">
        <f t="shared" si="23"/>
      </c>
      <c r="P41" s="93">
        <f t="shared" si="24"/>
      </c>
      <c r="Q41" s="68">
        <f t="shared" si="25"/>
      </c>
      <c r="R41" s="65">
        <v>23</v>
      </c>
      <c r="S41" s="65">
        <v>22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2"/>
      </c>
      <c r="E42" s="70">
        <f t="shared" si="13"/>
      </c>
      <c r="F42" s="75">
        <f t="shared" si="14"/>
      </c>
      <c r="G42" s="78">
        <f t="shared" si="15"/>
      </c>
      <c r="H42" s="93">
        <f t="shared" si="16"/>
      </c>
      <c r="I42" s="70">
        <f t="shared" si="17"/>
      </c>
      <c r="J42" s="75">
        <f t="shared" si="18"/>
      </c>
      <c r="K42" s="78">
        <f t="shared" si="19"/>
      </c>
      <c r="L42" s="93">
        <f t="shared" si="20"/>
      </c>
      <c r="M42" s="70">
        <f t="shared" si="21"/>
      </c>
      <c r="N42" s="75">
        <f t="shared" si="22"/>
      </c>
      <c r="O42" s="78">
        <f t="shared" si="23"/>
      </c>
      <c r="P42" s="93">
        <f t="shared" si="24"/>
      </c>
      <c r="Q42" s="68">
        <f t="shared" si="25"/>
      </c>
      <c r="R42" s="65">
        <v>22</v>
      </c>
      <c r="S42" s="65">
        <v>21</v>
      </c>
      <c r="T42" s="89">
        <f t="shared" si="26"/>
      </c>
      <c r="U42" s="89">
        <f t="shared" si="26"/>
      </c>
    </row>
    <row r="43" spans="1:21" ht="11.25" customHeight="1" thickBot="1">
      <c r="A43" s="45" t="s">
        <v>29</v>
      </c>
      <c r="B43" s="77">
        <f>AVERAGE(B31:B42)</f>
        <v>777.2514492753622</v>
      </c>
      <c r="C43" s="80">
        <f>IF(C11="","",AVERAGE(C31:C42))</f>
        <v>713.4032436162871</v>
      </c>
      <c r="D43" s="72">
        <f>IF(D31="","",AVERAGE(D31:D42))</f>
        <v>-63.8482056590752</v>
      </c>
      <c r="E43" s="62">
        <f t="shared" si="13"/>
        <v>-0.08214613908870973</v>
      </c>
      <c r="F43" s="77">
        <f>AVERAGE(F31:F42)</f>
        <v>724.7195652173913</v>
      </c>
      <c r="G43" s="80">
        <f>IF(G11="","",AVERAGE(G31:G42))</f>
        <v>633.6530020703934</v>
      </c>
      <c r="H43" s="95">
        <f>IF(H31="","",AVERAGE(H31:H42))</f>
        <v>-91.0665631469979</v>
      </c>
      <c r="I43" s="62">
        <f t="shared" si="17"/>
        <v>-0.12565765782752253</v>
      </c>
      <c r="J43" s="77">
        <f>AVERAGE(J31:J42)</f>
        <v>123.6340579710145</v>
      </c>
      <c r="K43" s="80">
        <f>IF(K11="","",AVERAGE(K31:K42))</f>
        <v>113.03557625948929</v>
      </c>
      <c r="L43" s="95">
        <f>IF(L31="","",AVERAGE(L31:L42))</f>
        <v>-10.598481711525196</v>
      </c>
      <c r="M43" s="62">
        <f t="shared" si="21"/>
        <v>-0.08572461250127356</v>
      </c>
      <c r="N43" s="77">
        <f>AVERAGE(N31:N42)</f>
        <v>1625.605072463768</v>
      </c>
      <c r="O43" s="80">
        <f>IF(O11="","",AVERAGE(O31:O42))</f>
        <v>1460.0918219461698</v>
      </c>
      <c r="P43" s="95">
        <f>IF(P31="","",AVERAGE(P31:P42))</f>
        <v>-165.51325051759832</v>
      </c>
      <c r="Q43" s="63">
        <f t="shared" si="25"/>
        <v>-0.10181639644292337</v>
      </c>
      <c r="R43" s="99">
        <f>SUM(R31:R42)</f>
        <v>256</v>
      </c>
      <c r="S43" s="99">
        <f>SUM(S31:S42)</f>
        <v>254</v>
      </c>
      <c r="T43" s="89">
        <f>SUM(T31:T42)</f>
        <v>63</v>
      </c>
      <c r="U43" s="88">
        <f>SUM(U31:U42)</f>
        <v>64</v>
      </c>
    </row>
    <row r="44" spans="1:17" s="30" customFormat="1" ht="11.25" customHeight="1">
      <c r="A44" s="86" t="s">
        <v>28</v>
      </c>
      <c r="B44" s="58"/>
      <c r="C44" s="58">
        <f>COUNTIF(C31:C42,"&gt;0")</f>
        <v>3</v>
      </c>
      <c r="D44" s="59"/>
      <c r="E44" s="60"/>
      <c r="F44" s="58"/>
      <c r="G44" s="58">
        <f>COUNTIF(G31:G42,"&gt;0")</f>
        <v>3</v>
      </c>
      <c r="H44" s="59"/>
      <c r="I44" s="60"/>
      <c r="J44" s="58"/>
      <c r="K44" s="58">
        <f>COUNTIF(K31:K42,"&gt;0")</f>
        <v>3</v>
      </c>
      <c r="L44" s="59"/>
      <c r="M44" s="60"/>
      <c r="N44" s="58"/>
      <c r="O44" s="58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B28:E28"/>
    <mergeCell ref="B26:E27"/>
    <mergeCell ref="F28:I28"/>
    <mergeCell ref="R30:S30"/>
    <mergeCell ref="B8:E8"/>
    <mergeCell ref="D29:E29"/>
    <mergeCell ref="H29:I29"/>
    <mergeCell ref="L29:M29"/>
    <mergeCell ref="P29:Q29"/>
    <mergeCell ref="N28:Q28"/>
    <mergeCell ref="H9:I9"/>
    <mergeCell ref="P9:Q9"/>
    <mergeCell ref="J8:M8"/>
    <mergeCell ref="N8:Q8"/>
    <mergeCell ref="J28:M28"/>
    <mergeCell ref="B2:E2"/>
    <mergeCell ref="D3:E3"/>
    <mergeCell ref="B6:E7"/>
    <mergeCell ref="B3:C3"/>
    <mergeCell ref="F8:I8"/>
    <mergeCell ref="L9:M9"/>
    <mergeCell ref="D9:E9"/>
  </mergeCells>
  <conditionalFormatting sqref="B13:B16 B18:B21 F13:F16 F18:F21 J13:J16 J18:J21 N13:N16 N18:N21">
    <cfRule type="expression" priority="1" dxfId="0" stopIfTrue="1">
      <formula>C13=""</formula>
    </cfRule>
  </conditionalFormatting>
  <conditionalFormatting sqref="B17 N22 B22 F17 F12 F22 J17 J12 J22 N17 N12">
    <cfRule type="expression" priority="2" dxfId="0" stopIfTrue="1">
      <formula>C12=""</formula>
    </cfRule>
  </conditionalFormatting>
  <conditionalFormatting sqref="R31:S43">
    <cfRule type="expression" priority="3" dxfId="3" stopIfTrue="1">
      <formula>R31&lt;$R31</formula>
    </cfRule>
    <cfRule type="expression" priority="4" dxfId="2" stopIfTrue="1">
      <formula>R31&gt;$R31</formula>
    </cfRule>
  </conditionalFormatting>
  <conditionalFormatting sqref="B12">
    <cfRule type="expression" priority="5" dxfId="0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7" t="s">
        <v>18</v>
      </c>
      <c r="B2" s="137" t="s">
        <v>26</v>
      </c>
      <c r="C2" s="137"/>
      <c r="D2" s="137"/>
      <c r="E2" s="137"/>
      <c r="Q2" s="92"/>
    </row>
    <row r="3" spans="1:17" ht="13.5" customHeight="1">
      <c r="A3" s="1"/>
      <c r="B3" s="128" t="s">
        <v>20</v>
      </c>
      <c r="C3" s="128"/>
      <c r="D3" s="138" t="s">
        <v>25</v>
      </c>
      <c r="E3" s="138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256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17241</v>
      </c>
      <c r="C11" s="47">
        <v>17169</v>
      </c>
      <c r="D11" s="21">
        <f aca="true" t="shared" si="0" ref="D11:D22">IF(C11="","",C11-B11)</f>
        <v>-72</v>
      </c>
      <c r="E11" s="68">
        <f aca="true" t="shared" si="1" ref="E11:E23">IF(D11="","",D11/B11)</f>
        <v>-0.0041760918740212285</v>
      </c>
      <c r="F11" s="38">
        <v>14162</v>
      </c>
      <c r="G11" s="47">
        <v>12173</v>
      </c>
      <c r="H11" s="21">
        <f aca="true" t="shared" si="2" ref="H11:H22">IF(G11="","",G11-F11)</f>
        <v>-1989</v>
      </c>
      <c r="I11" s="68">
        <f aca="true" t="shared" si="3" ref="I11:I23">IF(H11="","",H11/F11)</f>
        <v>-0.14044626465188534</v>
      </c>
      <c r="J11" s="38">
        <v>9153</v>
      </c>
      <c r="K11" s="47">
        <v>9311</v>
      </c>
      <c r="L11" s="21">
        <f aca="true" t="shared" si="4" ref="L11:L22">IF(K11="","",K11-J11)</f>
        <v>158</v>
      </c>
      <c r="M11" s="68">
        <f aca="true" t="shared" si="5" ref="M11:M23">IF(L11="","",L11/J11)</f>
        <v>0.017262099857970066</v>
      </c>
      <c r="N11" s="38">
        <f>SUM(B11,F11,J11)</f>
        <v>40556</v>
      </c>
      <c r="O11" s="34">
        <f aca="true" t="shared" si="6" ref="O11:O22">IF(C11="","",SUM(C11,G11,K11))</f>
        <v>38653</v>
      </c>
      <c r="P11" s="21">
        <f aca="true" t="shared" si="7" ref="P11:P22">IF(O11="","",O11-N11)</f>
        <v>-1903</v>
      </c>
      <c r="Q11" s="68">
        <f aca="true" t="shared" si="8" ref="Q11:Q23">IF(P11="","",P11/N11)</f>
        <v>-0.04692277344905809</v>
      </c>
    </row>
    <row r="12" spans="1:17" ht="11.25" customHeight="1">
      <c r="A12" s="20" t="s">
        <v>7</v>
      </c>
      <c r="B12" s="38">
        <v>18475</v>
      </c>
      <c r="C12" s="47">
        <v>17594</v>
      </c>
      <c r="D12" s="21">
        <f t="shared" si="0"/>
        <v>-881</v>
      </c>
      <c r="E12" s="68">
        <f t="shared" si="1"/>
        <v>-0.047686062246278756</v>
      </c>
      <c r="F12" s="38">
        <v>15234</v>
      </c>
      <c r="G12" s="47">
        <v>12722</v>
      </c>
      <c r="H12" s="21">
        <f t="shared" si="2"/>
        <v>-2512</v>
      </c>
      <c r="I12" s="68">
        <f t="shared" si="3"/>
        <v>-0.16489431534724958</v>
      </c>
      <c r="J12" s="38">
        <v>10142</v>
      </c>
      <c r="K12" s="47">
        <v>9695</v>
      </c>
      <c r="L12" s="21">
        <f t="shared" si="4"/>
        <v>-447</v>
      </c>
      <c r="M12" s="68">
        <f t="shared" si="5"/>
        <v>-0.04407414711102347</v>
      </c>
      <c r="N12" s="38">
        <f aca="true" t="shared" si="9" ref="N12:N22">SUM(B12,F12,J12)</f>
        <v>43851</v>
      </c>
      <c r="O12" s="34">
        <f t="shared" si="6"/>
        <v>40011</v>
      </c>
      <c r="P12" s="21">
        <f t="shared" si="7"/>
        <v>-3840</v>
      </c>
      <c r="Q12" s="68">
        <f t="shared" si="8"/>
        <v>-0.08756926865977971</v>
      </c>
    </row>
    <row r="13" spans="1:17" ht="11.25" customHeight="1">
      <c r="A13" s="27" t="s">
        <v>8</v>
      </c>
      <c r="B13" s="40">
        <v>22198</v>
      </c>
      <c r="C13" s="48">
        <v>19778</v>
      </c>
      <c r="D13" s="22">
        <f t="shared" si="0"/>
        <v>-2420</v>
      </c>
      <c r="E13" s="69">
        <f t="shared" si="1"/>
        <v>-0.10901883052527254</v>
      </c>
      <c r="F13" s="40">
        <v>16517</v>
      </c>
      <c r="G13" s="48">
        <v>13841</v>
      </c>
      <c r="H13" s="22">
        <f t="shared" si="2"/>
        <v>-2676</v>
      </c>
      <c r="I13" s="69">
        <f t="shared" si="3"/>
        <v>-0.16201489374583763</v>
      </c>
      <c r="J13" s="40">
        <v>11677</v>
      </c>
      <c r="K13" s="48">
        <v>12063</v>
      </c>
      <c r="L13" s="22">
        <f t="shared" si="4"/>
        <v>386</v>
      </c>
      <c r="M13" s="69">
        <f t="shared" si="5"/>
        <v>0.033056435728354885</v>
      </c>
      <c r="N13" s="40">
        <f t="shared" si="9"/>
        <v>50392</v>
      </c>
      <c r="O13" s="35">
        <f t="shared" si="6"/>
        <v>45682</v>
      </c>
      <c r="P13" s="22">
        <f t="shared" si="7"/>
        <v>-4710</v>
      </c>
      <c r="Q13" s="69">
        <f t="shared" si="8"/>
        <v>-0.09346721701857438</v>
      </c>
    </row>
    <row r="14" spans="1:17" ht="11.25" customHeight="1">
      <c r="A14" s="20" t="s">
        <v>9</v>
      </c>
      <c r="B14" s="38">
        <v>18350</v>
      </c>
      <c r="C14" s="47"/>
      <c r="D14" s="21">
        <f t="shared" si="0"/>
      </c>
      <c r="E14" s="68">
        <f t="shared" si="1"/>
      </c>
      <c r="F14" s="38">
        <v>14955</v>
      </c>
      <c r="G14" s="47"/>
      <c r="H14" s="21">
        <f t="shared" si="2"/>
      </c>
      <c r="I14" s="68">
        <f t="shared" si="3"/>
      </c>
      <c r="J14" s="38">
        <v>10643</v>
      </c>
      <c r="K14" s="47"/>
      <c r="L14" s="21">
        <f t="shared" si="4"/>
      </c>
      <c r="M14" s="68">
        <f t="shared" si="5"/>
      </c>
      <c r="N14" s="38">
        <f t="shared" si="9"/>
        <v>43948</v>
      </c>
      <c r="O14" s="34">
        <f t="shared" si="6"/>
      </c>
      <c r="P14" s="21">
        <f t="shared" si="7"/>
      </c>
      <c r="Q14" s="68">
        <f t="shared" si="8"/>
      </c>
    </row>
    <row r="15" spans="1:17" ht="11.25" customHeight="1">
      <c r="A15" s="20" t="s">
        <v>10</v>
      </c>
      <c r="B15" s="38">
        <v>19610</v>
      </c>
      <c r="C15" s="47"/>
      <c r="D15" s="21">
        <f t="shared" si="0"/>
      </c>
      <c r="E15" s="68">
        <f t="shared" si="1"/>
      </c>
      <c r="F15" s="38">
        <v>15678</v>
      </c>
      <c r="G15" s="47"/>
      <c r="H15" s="21">
        <f t="shared" si="2"/>
      </c>
      <c r="I15" s="68">
        <f t="shared" si="3"/>
      </c>
      <c r="J15" s="38">
        <v>11910</v>
      </c>
      <c r="K15" s="47"/>
      <c r="L15" s="21">
        <f t="shared" si="4"/>
      </c>
      <c r="M15" s="68">
        <f t="shared" si="5"/>
      </c>
      <c r="N15" s="38">
        <f t="shared" si="9"/>
        <v>47198</v>
      </c>
      <c r="O15" s="34">
        <f t="shared" si="6"/>
      </c>
      <c r="P15" s="21">
        <f t="shared" si="7"/>
      </c>
      <c r="Q15" s="68">
        <f t="shared" si="8"/>
      </c>
    </row>
    <row r="16" spans="1:17" ht="11.25" customHeight="1">
      <c r="A16" s="27" t="s">
        <v>11</v>
      </c>
      <c r="B16" s="40">
        <v>17644</v>
      </c>
      <c r="C16" s="48"/>
      <c r="D16" s="22">
        <f t="shared" si="0"/>
      </c>
      <c r="E16" s="69">
        <f t="shared" si="1"/>
      </c>
      <c r="F16" s="40">
        <v>13055</v>
      </c>
      <c r="G16" s="48"/>
      <c r="H16" s="22">
        <f t="shared" si="2"/>
      </c>
      <c r="I16" s="69">
        <f t="shared" si="3"/>
      </c>
      <c r="J16" s="40">
        <v>10713</v>
      </c>
      <c r="K16" s="48"/>
      <c r="L16" s="22">
        <f t="shared" si="4"/>
      </c>
      <c r="M16" s="69">
        <f t="shared" si="5"/>
      </c>
      <c r="N16" s="40">
        <f t="shared" si="9"/>
        <v>41412</v>
      </c>
      <c r="O16" s="35">
        <f t="shared" si="6"/>
      </c>
      <c r="P16" s="22">
        <f t="shared" si="7"/>
      </c>
      <c r="Q16" s="69">
        <f t="shared" si="8"/>
      </c>
    </row>
    <row r="17" spans="1:17" ht="11.25" customHeight="1">
      <c r="A17" s="20" t="s">
        <v>12</v>
      </c>
      <c r="B17" s="38">
        <v>18549</v>
      </c>
      <c r="C17" s="47"/>
      <c r="D17" s="21">
        <f t="shared" si="0"/>
      </c>
      <c r="E17" s="68">
        <f t="shared" si="1"/>
      </c>
      <c r="F17" s="38">
        <v>15010</v>
      </c>
      <c r="G17" s="47"/>
      <c r="H17" s="21">
        <f t="shared" si="2"/>
      </c>
      <c r="I17" s="68">
        <f t="shared" si="3"/>
      </c>
      <c r="J17" s="38">
        <v>11761</v>
      </c>
      <c r="K17" s="47"/>
      <c r="L17" s="21">
        <f t="shared" si="4"/>
      </c>
      <c r="M17" s="68">
        <f t="shared" si="5"/>
      </c>
      <c r="N17" s="38">
        <f t="shared" si="9"/>
        <v>45320</v>
      </c>
      <c r="O17" s="34">
        <f t="shared" si="6"/>
      </c>
      <c r="P17" s="21">
        <f t="shared" si="7"/>
      </c>
      <c r="Q17" s="68">
        <f t="shared" si="8"/>
      </c>
    </row>
    <row r="18" spans="1:17" ht="11.25" customHeight="1">
      <c r="A18" s="20" t="s">
        <v>13</v>
      </c>
      <c r="B18" s="38">
        <v>17159</v>
      </c>
      <c r="C18" s="47"/>
      <c r="D18" s="21">
        <f t="shared" si="0"/>
      </c>
      <c r="E18" s="68">
        <f t="shared" si="1"/>
      </c>
      <c r="F18" s="38">
        <v>11213</v>
      </c>
      <c r="G18" s="47"/>
      <c r="H18" s="21">
        <f t="shared" si="2"/>
      </c>
      <c r="I18" s="68">
        <f t="shared" si="3"/>
      </c>
      <c r="J18" s="38">
        <v>12204</v>
      </c>
      <c r="K18" s="47"/>
      <c r="L18" s="21">
        <f t="shared" si="4"/>
      </c>
      <c r="M18" s="68">
        <f t="shared" si="5"/>
      </c>
      <c r="N18" s="38">
        <f t="shared" si="9"/>
        <v>40576</v>
      </c>
      <c r="O18" s="34">
        <f t="shared" si="6"/>
      </c>
      <c r="P18" s="21">
        <f t="shared" si="7"/>
      </c>
      <c r="Q18" s="68">
        <f t="shared" si="8"/>
      </c>
    </row>
    <row r="19" spans="1:17" ht="11.25" customHeight="1">
      <c r="A19" s="27" t="s">
        <v>14</v>
      </c>
      <c r="B19" s="40">
        <v>19041</v>
      </c>
      <c r="C19" s="48"/>
      <c r="D19" s="22">
        <f t="shared" si="0"/>
      </c>
      <c r="E19" s="69">
        <f t="shared" si="1"/>
      </c>
      <c r="F19" s="40">
        <v>14052</v>
      </c>
      <c r="G19" s="48"/>
      <c r="H19" s="22">
        <f t="shared" si="2"/>
      </c>
      <c r="I19" s="69">
        <f t="shared" si="3"/>
      </c>
      <c r="J19" s="40">
        <v>12780</v>
      </c>
      <c r="K19" s="48"/>
      <c r="L19" s="22">
        <f t="shared" si="4"/>
      </c>
      <c r="M19" s="69">
        <f t="shared" si="5"/>
      </c>
      <c r="N19" s="40">
        <f t="shared" si="9"/>
        <v>45873</v>
      </c>
      <c r="O19" s="35">
        <f t="shared" si="6"/>
      </c>
      <c r="P19" s="22">
        <f t="shared" si="7"/>
      </c>
      <c r="Q19" s="69">
        <f t="shared" si="8"/>
      </c>
    </row>
    <row r="20" spans="1:17" ht="11.25" customHeight="1">
      <c r="A20" s="20" t="s">
        <v>15</v>
      </c>
      <c r="B20" s="38">
        <v>17636</v>
      </c>
      <c r="C20" s="47"/>
      <c r="D20" s="21">
        <f t="shared" si="0"/>
      </c>
      <c r="E20" s="68">
        <f t="shared" si="1"/>
      </c>
      <c r="F20" s="38">
        <v>13768</v>
      </c>
      <c r="G20" s="47"/>
      <c r="H20" s="21">
        <f t="shared" si="2"/>
      </c>
      <c r="I20" s="68">
        <f t="shared" si="3"/>
      </c>
      <c r="J20" s="38">
        <v>11268</v>
      </c>
      <c r="K20" s="47"/>
      <c r="L20" s="21">
        <f t="shared" si="4"/>
      </c>
      <c r="M20" s="68">
        <f t="shared" si="5"/>
      </c>
      <c r="N20" s="38">
        <f t="shared" si="9"/>
        <v>42672</v>
      </c>
      <c r="O20" s="34">
        <f t="shared" si="6"/>
      </c>
      <c r="P20" s="21">
        <f t="shared" si="7"/>
      </c>
      <c r="Q20" s="68">
        <f t="shared" si="8"/>
      </c>
    </row>
    <row r="21" spans="1:17" ht="11.25" customHeight="1">
      <c r="A21" s="20" t="s">
        <v>16</v>
      </c>
      <c r="B21" s="38">
        <v>18236</v>
      </c>
      <c r="C21" s="47"/>
      <c r="D21" s="21">
        <f t="shared" si="0"/>
      </c>
      <c r="E21" s="68">
        <f t="shared" si="1"/>
      </c>
      <c r="F21" s="38">
        <v>14188</v>
      </c>
      <c r="G21" s="47"/>
      <c r="H21" s="21">
        <f t="shared" si="2"/>
      </c>
      <c r="I21" s="68">
        <f t="shared" si="3"/>
      </c>
      <c r="J21" s="38">
        <v>11249</v>
      </c>
      <c r="K21" s="47"/>
      <c r="L21" s="21">
        <f t="shared" si="4"/>
      </c>
      <c r="M21" s="68">
        <f t="shared" si="5"/>
      </c>
      <c r="N21" s="38">
        <f t="shared" si="9"/>
        <v>43673</v>
      </c>
      <c r="O21" s="34">
        <f t="shared" si="6"/>
      </c>
      <c r="P21" s="21">
        <f t="shared" si="7"/>
      </c>
      <c r="Q21" s="68">
        <f t="shared" si="8"/>
      </c>
    </row>
    <row r="22" spans="1:17" ht="11.25" customHeight="1" thickBot="1">
      <c r="A22" s="23" t="s">
        <v>17</v>
      </c>
      <c r="B22" s="39">
        <v>15029</v>
      </c>
      <c r="C22" s="49"/>
      <c r="D22" s="21">
        <f t="shared" si="0"/>
      </c>
      <c r="E22" s="54">
        <f t="shared" si="1"/>
      </c>
      <c r="F22" s="39">
        <v>10919</v>
      </c>
      <c r="G22" s="49"/>
      <c r="H22" s="21">
        <f t="shared" si="2"/>
      </c>
      <c r="I22" s="54">
        <f t="shared" si="3"/>
      </c>
      <c r="J22" s="39">
        <v>9272</v>
      </c>
      <c r="K22" s="49"/>
      <c r="L22" s="21">
        <f t="shared" si="4"/>
      </c>
      <c r="M22" s="54">
        <f t="shared" si="5"/>
      </c>
      <c r="N22" s="39">
        <f t="shared" si="9"/>
        <v>35220</v>
      </c>
      <c r="O22" s="36">
        <f t="shared" si="6"/>
      </c>
      <c r="P22" s="21">
        <f t="shared" si="7"/>
      </c>
      <c r="Q22" s="54">
        <f t="shared" si="8"/>
      </c>
    </row>
    <row r="23" spans="1:17" ht="11.25" customHeight="1" thickBot="1">
      <c r="A23" s="44" t="s">
        <v>3</v>
      </c>
      <c r="B23" s="41">
        <f>IF(C24&lt;7,B24,B25)</f>
        <v>57914</v>
      </c>
      <c r="C23" s="42">
        <f>IF(C11="","",SUM(C11:C22))</f>
        <v>54541</v>
      </c>
      <c r="D23" s="43">
        <f>IF(D11="","",SUM(D11:D22))</f>
        <v>-3373</v>
      </c>
      <c r="E23" s="61">
        <f t="shared" si="1"/>
        <v>-0.05824153054529129</v>
      </c>
      <c r="F23" s="41">
        <f>IF(G24&lt;7,F24,F25)</f>
        <v>45913</v>
      </c>
      <c r="G23" s="42">
        <f>IF(G11="","",SUM(G11:G22))</f>
        <v>38736</v>
      </c>
      <c r="H23" s="43">
        <f>IF(H11="","",SUM(H11:H22))</f>
        <v>-7177</v>
      </c>
      <c r="I23" s="61">
        <f t="shared" si="3"/>
        <v>-0.15631738287630953</v>
      </c>
      <c r="J23" s="41">
        <f>IF(K24&lt;7,J24,J25)</f>
        <v>30972</v>
      </c>
      <c r="K23" s="42">
        <f>IF(K11="","",SUM(K11:K22))</f>
        <v>31069</v>
      </c>
      <c r="L23" s="43">
        <f>IF(L11="","",SUM(L11:L22))</f>
        <v>97</v>
      </c>
      <c r="M23" s="61">
        <f t="shared" si="5"/>
        <v>0.003131861035774248</v>
      </c>
      <c r="N23" s="41">
        <f>IF(O24&lt;7,N24,N25)</f>
        <v>134799</v>
      </c>
      <c r="O23" s="42">
        <f>IF(O11="","",SUM(O11:O22))</f>
        <v>124346</v>
      </c>
      <c r="P23" s="43">
        <f>IF(P11="","",SUM(P11:P22))</f>
        <v>-10453</v>
      </c>
      <c r="Q23" s="61">
        <f t="shared" si="8"/>
        <v>-0.07754508564603595</v>
      </c>
    </row>
    <row r="24" spans="1:17" ht="11.25" customHeight="1">
      <c r="A24" s="85" t="s">
        <v>28</v>
      </c>
      <c r="B24" s="90">
        <f>IF(C24=1,B11,IF(C24=2,SUM(B11:B12),IF(C24=3,SUM(B11:B13),IF(C24=4,SUM(B11:B14),IF(C24=5,SUM(B11:B15),IF(C24=6,SUM(B11:B16),""))))))</f>
        <v>57914</v>
      </c>
      <c r="C24" s="56">
        <f>COUNTIF(C11:C22,"&gt;0")</f>
        <v>3</v>
      </c>
      <c r="D24" s="56"/>
      <c r="E24" s="57"/>
      <c r="F24" s="90">
        <f>IF(G24=1,F11,IF(G24=2,SUM(F11:F12),IF(G24=3,SUM(F11:F13),IF(G24=4,SUM(F11:F14),IF(G24=5,SUM(F11:F15),IF(G24=6,SUM(F11:F16),""))))))</f>
        <v>45913</v>
      </c>
      <c r="G24" s="56">
        <f>COUNTIF(G11:G22,"&gt;0")</f>
        <v>3</v>
      </c>
      <c r="H24" s="56"/>
      <c r="I24" s="57"/>
      <c r="J24" s="90">
        <f>IF(K24=1,J11,IF(K24=2,SUM(J11:J12),IF(K24=3,SUM(J11:J13),IF(K24=4,SUM(J11:J14),IF(K24=5,SUM(J11:J15),IF(K24=6,SUM(J11:J16),""))))))</f>
        <v>30972</v>
      </c>
      <c r="K24" s="56">
        <f>COUNTIF(K11:K22,"&gt;0")</f>
        <v>3</v>
      </c>
      <c r="L24" s="56"/>
      <c r="M24" s="57"/>
      <c r="N24" s="90">
        <f>IF(O24=1,N11,IF(O24=2,SUM(N11:N12),IF(O24=3,SUM(N11:N13),IF(O24=4,SUM(N11:N14),IF(O24=5,SUM(N11:N15),IF(O24=6,SUM(N11:N16),""))))))</f>
        <v>134799</v>
      </c>
      <c r="O24" s="56">
        <f>COUNTIF(O11:O22,"&gt;0")</f>
        <v>3</v>
      </c>
      <c r="P24" s="24"/>
      <c r="Q24" s="25"/>
    </row>
    <row r="25" spans="2:14" ht="11.25" customHeight="1">
      <c r="B25" s="88">
        <f>IF(C24=7,SUM(B11:B17),IF(C24=8,SUM(B11:B18),IF(C24=9,SUM(B11:B19),IF(C24=10,SUM(B11:B20),IF(C24=11,SUM(B11:B21),SUM(B11:B22))))))</f>
        <v>219168</v>
      </c>
      <c r="F25" s="88">
        <f>IF(G24=7,SUM(F11:F17),IF(G24=8,SUM(F11:F18),IF(G24=9,SUM(F11:F19),IF(G24=10,SUM(F11:F20),IF(G24=11,SUM(F11:F21),SUM(F11:F22))))))</f>
        <v>168751</v>
      </c>
      <c r="J25" s="88">
        <f>IF(K24=7,SUM(J11:J17),IF(K24=8,SUM(J11:J18),IF(K24=9,SUM(J11:J19),IF(K24=10,SUM(J11:J20),IF(K24=11,SUM(J11:J21),SUM(J11:J22))))))</f>
        <v>132772</v>
      </c>
      <c r="N25" s="88">
        <f>IF(O24=7,SUM(N11:N17),IF(O24=8,SUM(N11:N18),IF(O24=9,SUM(N11:N19),IF(O24=10,SUM(N11:N20),IF(O24=11,SUM(N11:N21),SUM(N11:N22))))))</f>
        <v>520691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63</v>
      </c>
      <c r="C30" s="12">
        <f>U43</f>
        <v>64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>IF(C11="","",B11/$R31)</f>
        <v>862.05</v>
      </c>
      <c r="C31" s="78">
        <f>IF(C11="","",C11/$S31)</f>
        <v>817.5714285714286</v>
      </c>
      <c r="D31" s="74">
        <f>IF(C31="","",C31-B31)</f>
        <v>-44.4785714285714</v>
      </c>
      <c r="E31" s="70">
        <f>IF(C31="","",(C31-B31)/ABS(B31))</f>
        <v>-0.05159627797525828</v>
      </c>
      <c r="F31" s="75">
        <f>IF(G11="","",F11/$R31)</f>
        <v>708.1</v>
      </c>
      <c r="G31" s="78">
        <f>IF(G11="","",G11/$S31)</f>
        <v>579.6666666666666</v>
      </c>
      <c r="H31" s="93">
        <f>IF(G31="","",G31-F31)</f>
        <v>-128.4333333333334</v>
      </c>
      <c r="I31" s="70">
        <f>IF(G31="","",(G31-F31)/ABS(F31))</f>
        <v>-0.18137739490655752</v>
      </c>
      <c r="J31" s="75">
        <f>IF(K11="","",J11/$R31)</f>
        <v>457.65</v>
      </c>
      <c r="K31" s="78">
        <f>IF(K11="","",K11/$S31)</f>
        <v>443.3809523809524</v>
      </c>
      <c r="L31" s="93">
        <f>IF(K31="","",K31-J31)</f>
        <v>-14.26904761904757</v>
      </c>
      <c r="M31" s="70">
        <f>IF(K31="","",(K31-J31)/ABS(J31))</f>
        <v>-0.03117895251621888</v>
      </c>
      <c r="N31" s="75">
        <f>IF(O11="","",N11/$R31)</f>
        <v>2027.8</v>
      </c>
      <c r="O31" s="78">
        <f>IF(O11="","",O11/$S31)</f>
        <v>1840.6190476190477</v>
      </c>
      <c r="P31" s="93">
        <f>IF(O31="","",O31-N31)</f>
        <v>-187.18095238095225</v>
      </c>
      <c r="Q31" s="68">
        <f>IF(O31="","",(O31-N31)/ABS(N31))</f>
        <v>-0.09230740328481717</v>
      </c>
      <c r="R31" s="65">
        <v>20</v>
      </c>
      <c r="S31" s="65">
        <v>21</v>
      </c>
      <c r="T31" s="89">
        <f>IF(OR(N31="",N31=0),"",R31)</f>
        <v>20</v>
      </c>
      <c r="U31" s="89">
        <f>IF(OR(O31="",O31=0),"",S31)</f>
        <v>21</v>
      </c>
    </row>
    <row r="32" spans="1:21" ht="11.25" customHeight="1">
      <c r="A32" s="20" t="s">
        <v>7</v>
      </c>
      <c r="B32" s="75">
        <f aca="true" t="shared" si="10" ref="B32:B42">IF(C12="","",B12/$R32)</f>
        <v>923.75</v>
      </c>
      <c r="C32" s="78">
        <f aca="true" t="shared" si="11" ref="C32:C42">IF(C12="","",C12/$S32)</f>
        <v>879.7</v>
      </c>
      <c r="D32" s="74">
        <f aca="true" t="shared" si="12" ref="D32:D42">IF(C32="","",C32-B32)</f>
        <v>-44.049999999999955</v>
      </c>
      <c r="E32" s="70">
        <f aca="true" t="shared" si="13" ref="E32:E43">IF(C32="","",(C32-B32)/ABS(B32))</f>
        <v>-0.04768606224627871</v>
      </c>
      <c r="F32" s="75">
        <f aca="true" t="shared" si="14" ref="F32:F42">IF(G12="","",F12/$R32)</f>
        <v>761.7</v>
      </c>
      <c r="G32" s="78">
        <f aca="true" t="shared" si="15" ref="G32:G42">IF(G12="","",G12/$S32)</f>
        <v>636.1</v>
      </c>
      <c r="H32" s="93">
        <f aca="true" t="shared" si="16" ref="H32:H42">IF(G32="","",G32-F32)</f>
        <v>-125.60000000000002</v>
      </c>
      <c r="I32" s="70">
        <f aca="true" t="shared" si="17" ref="I32:I43">IF(G32="","",(G32-F32)/ABS(F32))</f>
        <v>-0.1648943153472496</v>
      </c>
      <c r="J32" s="75">
        <f aca="true" t="shared" si="18" ref="J32:J42">IF(K12="","",J12/$R32)</f>
        <v>507.1</v>
      </c>
      <c r="K32" s="78">
        <f aca="true" t="shared" si="19" ref="K32:K42">IF(K12="","",K12/$S32)</f>
        <v>484.75</v>
      </c>
      <c r="L32" s="93">
        <f aca="true" t="shared" si="20" ref="L32:L42">IF(K32="","",K32-J32)</f>
        <v>-22.350000000000023</v>
      </c>
      <c r="M32" s="70">
        <f aca="true" t="shared" si="21" ref="M32:M43">IF(K32="","",(K32-J32)/ABS(J32))</f>
        <v>-0.04407414711102351</v>
      </c>
      <c r="N32" s="75">
        <f aca="true" t="shared" si="22" ref="N32:N42">IF(O12="","",N12/$R32)</f>
        <v>2192.55</v>
      </c>
      <c r="O32" s="78">
        <f aca="true" t="shared" si="23" ref="O32:O42">IF(O12="","",O12/$S32)</f>
        <v>2000.55</v>
      </c>
      <c r="P32" s="93">
        <f aca="true" t="shared" si="24" ref="P32:P42">IF(O32="","",O32-N32)</f>
        <v>-192.00000000000023</v>
      </c>
      <c r="Q32" s="68">
        <f aca="true" t="shared" si="25" ref="Q32:Q43">IF(O32="","",(O32-N32)/ABS(N32))</f>
        <v>-0.0875692686597798</v>
      </c>
      <c r="R32" s="65"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46" t="s">
        <v>8</v>
      </c>
      <c r="B33" s="76">
        <f t="shared" si="10"/>
        <v>965.1304347826087</v>
      </c>
      <c r="C33" s="79">
        <f t="shared" si="11"/>
        <v>859.9130434782609</v>
      </c>
      <c r="D33" s="81">
        <f t="shared" si="12"/>
        <v>-105.21739130434787</v>
      </c>
      <c r="E33" s="71">
        <f t="shared" si="13"/>
        <v>-0.10901883052527259</v>
      </c>
      <c r="F33" s="76">
        <f t="shared" si="14"/>
        <v>718.1304347826087</v>
      </c>
      <c r="G33" s="79">
        <f t="shared" si="15"/>
        <v>601.7826086956521</v>
      </c>
      <c r="H33" s="94">
        <f t="shared" si="16"/>
        <v>-116.34782608695662</v>
      </c>
      <c r="I33" s="71">
        <f t="shared" si="17"/>
        <v>-0.16201489374583775</v>
      </c>
      <c r="J33" s="76">
        <f t="shared" si="18"/>
        <v>507.69565217391306</v>
      </c>
      <c r="K33" s="79">
        <f t="shared" si="19"/>
        <v>524.4782608695652</v>
      </c>
      <c r="L33" s="94">
        <f t="shared" si="20"/>
        <v>16.782608695652186</v>
      </c>
      <c r="M33" s="71">
        <f t="shared" si="21"/>
        <v>0.033056435728354906</v>
      </c>
      <c r="N33" s="76">
        <f t="shared" si="22"/>
        <v>2190.9565217391305</v>
      </c>
      <c r="O33" s="79">
        <f t="shared" si="23"/>
        <v>1986.1739130434783</v>
      </c>
      <c r="P33" s="94">
        <f t="shared" si="24"/>
        <v>-204.78260869565224</v>
      </c>
      <c r="Q33" s="69">
        <f t="shared" si="25"/>
        <v>-0.09346721701857441</v>
      </c>
      <c r="R33" s="98">
        <v>23</v>
      </c>
      <c r="S33" s="98">
        <v>23</v>
      </c>
      <c r="T33" s="89">
        <f t="shared" si="26"/>
        <v>23</v>
      </c>
      <c r="U33" s="89">
        <f t="shared" si="26"/>
        <v>23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2"/>
      </c>
      <c r="E34" s="70">
        <f t="shared" si="13"/>
      </c>
      <c r="F34" s="75">
        <f t="shared" si="14"/>
      </c>
      <c r="G34" s="78">
        <f t="shared" si="15"/>
      </c>
      <c r="H34" s="93">
        <f t="shared" si="16"/>
      </c>
      <c r="I34" s="70">
        <f t="shared" si="17"/>
      </c>
      <c r="J34" s="75">
        <f t="shared" si="18"/>
      </c>
      <c r="K34" s="78">
        <f t="shared" si="19"/>
      </c>
      <c r="L34" s="93">
        <f t="shared" si="20"/>
      </c>
      <c r="M34" s="70">
        <f t="shared" si="21"/>
      </c>
      <c r="N34" s="75">
        <f t="shared" si="22"/>
      </c>
      <c r="O34" s="78">
        <f t="shared" si="23"/>
      </c>
      <c r="P34" s="93">
        <f t="shared" si="24"/>
      </c>
      <c r="Q34" s="68">
        <f t="shared" si="25"/>
      </c>
      <c r="R34" s="65">
        <v>20</v>
      </c>
      <c r="S34" s="65">
        <v>19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2"/>
      </c>
      <c r="E35" s="70">
        <f t="shared" si="13"/>
      </c>
      <c r="F35" s="75">
        <f t="shared" si="14"/>
      </c>
      <c r="G35" s="78">
        <f t="shared" si="15"/>
      </c>
      <c r="H35" s="93">
        <f t="shared" si="16"/>
      </c>
      <c r="I35" s="70">
        <f t="shared" si="17"/>
      </c>
      <c r="J35" s="75">
        <f t="shared" si="18"/>
      </c>
      <c r="K35" s="78">
        <f t="shared" si="19"/>
      </c>
      <c r="L35" s="93">
        <f t="shared" si="20"/>
      </c>
      <c r="M35" s="70">
        <f t="shared" si="21"/>
      </c>
      <c r="N35" s="75">
        <f t="shared" si="22"/>
      </c>
      <c r="O35" s="78">
        <f t="shared" si="23"/>
      </c>
      <c r="P35" s="93">
        <f t="shared" si="24"/>
      </c>
      <c r="Q35" s="68">
        <f t="shared" si="25"/>
      </c>
      <c r="R35" s="65">
        <v>19</v>
      </c>
      <c r="S35" s="65">
        <v>22</v>
      </c>
      <c r="T35" s="89">
        <f t="shared" si="26"/>
      </c>
      <c r="U35" s="89">
        <f t="shared" si="26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2"/>
      </c>
      <c r="E36" s="71">
        <f t="shared" si="13"/>
      </c>
      <c r="F36" s="76">
        <f t="shared" si="14"/>
      </c>
      <c r="G36" s="79">
        <f t="shared" si="15"/>
      </c>
      <c r="H36" s="94">
        <f t="shared" si="16"/>
      </c>
      <c r="I36" s="71">
        <f t="shared" si="17"/>
      </c>
      <c r="J36" s="76">
        <f t="shared" si="18"/>
      </c>
      <c r="K36" s="79">
        <f t="shared" si="19"/>
      </c>
      <c r="L36" s="94">
        <f t="shared" si="20"/>
      </c>
      <c r="M36" s="71">
        <f t="shared" si="21"/>
      </c>
      <c r="N36" s="76">
        <f t="shared" si="22"/>
      </c>
      <c r="O36" s="79">
        <f t="shared" si="23"/>
      </c>
      <c r="P36" s="94">
        <f t="shared" si="24"/>
      </c>
      <c r="Q36" s="69">
        <f t="shared" si="25"/>
      </c>
      <c r="R36" s="98">
        <v>22</v>
      </c>
      <c r="S36" s="98">
        <v>20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2"/>
      </c>
      <c r="E37" s="70">
        <f t="shared" si="13"/>
      </c>
      <c r="F37" s="75">
        <f t="shared" si="14"/>
      </c>
      <c r="G37" s="78">
        <f t="shared" si="15"/>
      </c>
      <c r="H37" s="93">
        <f t="shared" si="16"/>
      </c>
      <c r="I37" s="70">
        <f t="shared" si="17"/>
      </c>
      <c r="J37" s="75">
        <f t="shared" si="18"/>
      </c>
      <c r="K37" s="78">
        <f t="shared" si="19"/>
      </c>
      <c r="L37" s="93">
        <f t="shared" si="20"/>
      </c>
      <c r="M37" s="70">
        <f t="shared" si="21"/>
      </c>
      <c r="N37" s="75">
        <f t="shared" si="22"/>
      </c>
      <c r="O37" s="78">
        <f t="shared" si="23"/>
      </c>
      <c r="P37" s="93">
        <f t="shared" si="24"/>
      </c>
      <c r="Q37" s="68">
        <f t="shared" si="25"/>
      </c>
      <c r="R37" s="65">
        <v>22</v>
      </c>
      <c r="S37" s="65">
        <v>21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2"/>
      </c>
      <c r="E38" s="70">
        <f t="shared" si="13"/>
      </c>
      <c r="F38" s="75">
        <f t="shared" si="14"/>
      </c>
      <c r="G38" s="78">
        <f t="shared" si="15"/>
      </c>
      <c r="H38" s="93">
        <f t="shared" si="16"/>
      </c>
      <c r="I38" s="70">
        <f t="shared" si="17"/>
      </c>
      <c r="J38" s="75">
        <f t="shared" si="18"/>
      </c>
      <c r="K38" s="78">
        <f t="shared" si="19"/>
      </c>
      <c r="L38" s="93">
        <f t="shared" si="20"/>
      </c>
      <c r="M38" s="70">
        <f t="shared" si="21"/>
      </c>
      <c r="N38" s="75">
        <f t="shared" si="22"/>
      </c>
      <c r="O38" s="78">
        <f t="shared" si="23"/>
      </c>
      <c r="P38" s="93">
        <f t="shared" si="24"/>
      </c>
      <c r="Q38" s="68">
        <f t="shared" si="25"/>
      </c>
      <c r="R38" s="65">
        <v>22</v>
      </c>
      <c r="S38" s="65">
        <v>22</v>
      </c>
      <c r="T38" s="89">
        <f t="shared" si="26"/>
      </c>
      <c r="U38" s="89">
        <f t="shared" si="26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2"/>
      </c>
      <c r="E39" s="71">
        <f t="shared" si="13"/>
      </c>
      <c r="F39" s="76">
        <f t="shared" si="14"/>
      </c>
      <c r="G39" s="79">
        <f t="shared" si="15"/>
      </c>
      <c r="H39" s="94">
        <f t="shared" si="16"/>
      </c>
      <c r="I39" s="71">
        <f t="shared" si="17"/>
      </c>
      <c r="J39" s="76">
        <f t="shared" si="18"/>
      </c>
      <c r="K39" s="79">
        <f t="shared" si="19"/>
      </c>
      <c r="L39" s="94">
        <f t="shared" si="20"/>
      </c>
      <c r="M39" s="71">
        <f t="shared" si="21"/>
      </c>
      <c r="N39" s="76">
        <f t="shared" si="22"/>
      </c>
      <c r="O39" s="79">
        <f t="shared" si="23"/>
      </c>
      <c r="P39" s="94">
        <f t="shared" si="24"/>
      </c>
      <c r="Q39" s="69">
        <f t="shared" si="25"/>
      </c>
      <c r="R39" s="98">
        <v>21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2"/>
      </c>
      <c r="E40" s="70">
        <f t="shared" si="13"/>
      </c>
      <c r="F40" s="75">
        <f t="shared" si="14"/>
      </c>
      <c r="G40" s="78">
        <f t="shared" si="15"/>
      </c>
      <c r="H40" s="93">
        <f t="shared" si="16"/>
      </c>
      <c r="I40" s="70">
        <f t="shared" si="17"/>
      </c>
      <c r="J40" s="75">
        <f t="shared" si="18"/>
      </c>
      <c r="K40" s="78">
        <f t="shared" si="19"/>
      </c>
      <c r="L40" s="93">
        <f t="shared" si="20"/>
      </c>
      <c r="M40" s="70">
        <f t="shared" si="21"/>
      </c>
      <c r="N40" s="75">
        <f t="shared" si="22"/>
      </c>
      <c r="O40" s="78">
        <f t="shared" si="23"/>
      </c>
      <c r="P40" s="93">
        <f t="shared" si="24"/>
      </c>
      <c r="Q40" s="68">
        <f t="shared" si="25"/>
      </c>
      <c r="R40" s="65">
        <v>22</v>
      </c>
      <c r="S40" s="65">
        <v>21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2"/>
      </c>
      <c r="E41" s="70">
        <f t="shared" si="13"/>
      </c>
      <c r="F41" s="75">
        <f t="shared" si="14"/>
      </c>
      <c r="G41" s="78">
        <f t="shared" si="15"/>
      </c>
      <c r="H41" s="93">
        <f t="shared" si="16"/>
      </c>
      <c r="I41" s="70">
        <f t="shared" si="17"/>
      </c>
      <c r="J41" s="75">
        <f t="shared" si="18"/>
      </c>
      <c r="K41" s="78">
        <f t="shared" si="19"/>
      </c>
      <c r="L41" s="93">
        <f t="shared" si="20"/>
      </c>
      <c r="M41" s="70">
        <f t="shared" si="21"/>
      </c>
      <c r="N41" s="75">
        <f t="shared" si="22"/>
      </c>
      <c r="O41" s="78">
        <f t="shared" si="23"/>
      </c>
      <c r="P41" s="93">
        <f t="shared" si="24"/>
      </c>
      <c r="Q41" s="68">
        <f t="shared" si="25"/>
      </c>
      <c r="R41" s="65">
        <v>23</v>
      </c>
      <c r="S41" s="65">
        <v>22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2"/>
      </c>
      <c r="E42" s="70">
        <f t="shared" si="13"/>
      </c>
      <c r="F42" s="75">
        <f t="shared" si="14"/>
      </c>
      <c r="G42" s="78">
        <f t="shared" si="15"/>
      </c>
      <c r="H42" s="93">
        <f t="shared" si="16"/>
      </c>
      <c r="I42" s="70">
        <f t="shared" si="17"/>
      </c>
      <c r="J42" s="75">
        <f t="shared" si="18"/>
      </c>
      <c r="K42" s="78">
        <f t="shared" si="19"/>
      </c>
      <c r="L42" s="93">
        <f t="shared" si="20"/>
      </c>
      <c r="M42" s="70">
        <f t="shared" si="21"/>
      </c>
      <c r="N42" s="75">
        <f t="shared" si="22"/>
      </c>
      <c r="O42" s="78">
        <f t="shared" si="23"/>
      </c>
      <c r="P42" s="93">
        <f t="shared" si="24"/>
      </c>
      <c r="Q42" s="68">
        <f t="shared" si="25"/>
      </c>
      <c r="R42" s="65">
        <v>22</v>
      </c>
      <c r="S42" s="65">
        <v>21</v>
      </c>
      <c r="T42" s="89">
        <f t="shared" si="26"/>
      </c>
      <c r="U42" s="89">
        <f t="shared" si="26"/>
      </c>
    </row>
    <row r="43" spans="1:21" ht="11.25" customHeight="1" thickBot="1">
      <c r="A43" s="45" t="s">
        <v>29</v>
      </c>
      <c r="B43" s="77">
        <f>AVERAGE(B31:B42)</f>
        <v>916.9768115942029</v>
      </c>
      <c r="C43" s="80">
        <f>IF(C11="","",AVERAGE(C31:C42))</f>
        <v>852.3948240165632</v>
      </c>
      <c r="D43" s="72">
        <f>IF(D31="","",AVERAGE(D31:D42))</f>
        <v>-64.58198757763974</v>
      </c>
      <c r="E43" s="62">
        <f t="shared" si="13"/>
        <v>-0.07042924833111228</v>
      </c>
      <c r="F43" s="77">
        <f>AVERAGE(F31:F42)</f>
        <v>729.3101449275364</v>
      </c>
      <c r="G43" s="80">
        <f>IF(G11="","",AVERAGE(G31:G42))</f>
        <v>605.8497584541063</v>
      </c>
      <c r="H43" s="95">
        <f>IF(H31="","",AVERAGE(H31:H42))</f>
        <v>-123.46038647343</v>
      </c>
      <c r="I43" s="62">
        <f t="shared" si="17"/>
        <v>-0.16928379144608904</v>
      </c>
      <c r="J43" s="77">
        <f>AVERAGE(J31:J42)</f>
        <v>490.8152173913043</v>
      </c>
      <c r="K43" s="80">
        <f>IF(K11="","",AVERAGE(K31:K42))</f>
        <v>484.2030710835059</v>
      </c>
      <c r="L43" s="95">
        <f>IF(L31="","",AVERAGE(L31:L42))</f>
        <v>-6.612146307798469</v>
      </c>
      <c r="M43" s="62">
        <f t="shared" si="21"/>
        <v>-0.013471763045453526</v>
      </c>
      <c r="N43" s="77">
        <f>AVERAGE(N31:N42)</f>
        <v>2137.1021739130433</v>
      </c>
      <c r="O43" s="80">
        <f>IF(O11="","",AVERAGE(O31:O42))</f>
        <v>1942.4476535541753</v>
      </c>
      <c r="P43" s="95">
        <f>IF(P31="","",AVERAGE(P31:P42))</f>
        <v>-194.65452035886824</v>
      </c>
      <c r="Q43" s="63">
        <f t="shared" si="25"/>
        <v>-0.09108339448387474</v>
      </c>
      <c r="R43" s="99">
        <f>SUM(R31:R42)</f>
        <v>256</v>
      </c>
      <c r="S43" s="99">
        <f>SUM(S31:S42)</f>
        <v>254</v>
      </c>
      <c r="T43" s="89">
        <f>SUM(T31:T42)</f>
        <v>63</v>
      </c>
      <c r="U43" s="88">
        <f>SUM(U31:U42)</f>
        <v>64</v>
      </c>
    </row>
    <row r="44" spans="1:17" s="30" customFormat="1" ht="11.25" customHeight="1">
      <c r="A44" s="86" t="s">
        <v>28</v>
      </c>
      <c r="B44" s="58"/>
      <c r="C44" s="58">
        <f>COUNTIF(C31:C42,"&gt;0")</f>
        <v>3</v>
      </c>
      <c r="D44" s="59"/>
      <c r="E44" s="60"/>
      <c r="F44" s="58"/>
      <c r="G44" s="58">
        <f>COUNTIF(G31:G42,"&gt;0")</f>
        <v>3</v>
      </c>
      <c r="H44" s="59"/>
      <c r="I44" s="60"/>
      <c r="J44" s="58"/>
      <c r="K44" s="58">
        <f>COUNTIF(K31:K42,"&gt;0")</f>
        <v>3</v>
      </c>
      <c r="L44" s="59"/>
      <c r="M44" s="60"/>
      <c r="N44" s="58"/>
      <c r="O44" s="58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B26:E27"/>
    <mergeCell ref="B28:E28"/>
    <mergeCell ref="R30:S30"/>
    <mergeCell ref="B8:E8"/>
    <mergeCell ref="D29:E29"/>
    <mergeCell ref="H29:I29"/>
    <mergeCell ref="L29:M29"/>
    <mergeCell ref="P29:Q29"/>
    <mergeCell ref="D9:E9"/>
    <mergeCell ref="H9:I9"/>
    <mergeCell ref="F28:I28"/>
    <mergeCell ref="J28:M28"/>
    <mergeCell ref="N28:Q28"/>
    <mergeCell ref="P9:Q9"/>
    <mergeCell ref="L9:M9"/>
    <mergeCell ref="F8:I8"/>
    <mergeCell ref="B2:E2"/>
    <mergeCell ref="D3:E3"/>
    <mergeCell ref="B3:C3"/>
    <mergeCell ref="B6:E7"/>
    <mergeCell ref="J8:M8"/>
    <mergeCell ref="N8:Q8"/>
  </mergeCells>
  <conditionalFormatting sqref="B13:B16 B18:B21 F13:F16 N18:N21 J13:J16 J18:J21 N13:N16 F18:F19 F21">
    <cfRule type="expression" priority="1" dxfId="0" stopIfTrue="1">
      <formula>C13=""</formula>
    </cfRule>
  </conditionalFormatting>
  <conditionalFormatting sqref="B17 F20 B22 F17 F12 F22 J17 J12 J22 N17 N12 N22">
    <cfRule type="expression" priority="2" dxfId="0" stopIfTrue="1">
      <formula>C12=""</formula>
    </cfRule>
  </conditionalFormatting>
  <conditionalFormatting sqref="B12">
    <cfRule type="expression" priority="3" dxfId="0" stopIfTrue="1">
      <formula>C12=""</formula>
    </cfRule>
  </conditionalFormatting>
  <conditionalFormatting sqref="R31:S43">
    <cfRule type="expression" priority="4" dxfId="3" stopIfTrue="1">
      <formula>R31&lt;$R31</formula>
    </cfRule>
    <cfRule type="expression" priority="5" dxfId="2" stopIfTrue="1">
      <formula>R31&gt;$R31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6" t="s">
        <v>18</v>
      </c>
      <c r="B2" s="137" t="s">
        <v>50</v>
      </c>
      <c r="C2" s="137"/>
      <c r="D2" s="137"/>
      <c r="E2" s="137"/>
      <c r="Q2" s="92"/>
    </row>
    <row r="3" spans="1:17" ht="13.5" customHeight="1">
      <c r="A3" s="1"/>
      <c r="B3" s="128" t="s">
        <v>20</v>
      </c>
      <c r="C3" s="128"/>
      <c r="D3" s="141" t="s">
        <v>19</v>
      </c>
      <c r="E3" s="141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256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9870</v>
      </c>
      <c r="C11" s="47">
        <v>9988</v>
      </c>
      <c r="D11" s="21">
        <f>IF(OR(C11="",B11=0),"",C11-B11)</f>
        <v>118</v>
      </c>
      <c r="E11" s="68">
        <f aca="true" t="shared" si="0" ref="E11:E22">IF(D11="","",D11/B11)</f>
        <v>0.011955420466058764</v>
      </c>
      <c r="F11" s="38">
        <v>6576</v>
      </c>
      <c r="G11" s="47">
        <v>6828</v>
      </c>
      <c r="H11" s="21">
        <f>IF(OR(G11="",F11=0),"",G11-F11)</f>
        <v>252</v>
      </c>
      <c r="I11" s="68">
        <f aca="true" t="shared" si="1" ref="I11:I22">IF(H11="","",H11/F11)</f>
        <v>0.03832116788321168</v>
      </c>
      <c r="J11" s="38">
        <v>911</v>
      </c>
      <c r="K11" s="47">
        <v>1067</v>
      </c>
      <c r="L11" s="21">
        <f>IF(OR(K11="",J11=0),"",K11-J11)</f>
        <v>156</v>
      </c>
      <c r="M11" s="68">
        <f aca="true" t="shared" si="2" ref="M11:M22">IF(L11="","",L11/J11)</f>
        <v>0.1712403951701427</v>
      </c>
      <c r="N11" s="38">
        <f aca="true" t="shared" si="3" ref="N11:N22">SUM(B11,F11,J11)</f>
        <v>17357</v>
      </c>
      <c r="O11" s="34">
        <f aca="true" t="shared" si="4" ref="O11:O22">IF(C11="","",SUM(C11,G11,K11))</f>
        <v>17883</v>
      </c>
      <c r="P11" s="21">
        <f>IF(OR(O11="",N11=0),"",O11-N11)</f>
        <v>526</v>
      </c>
      <c r="Q11" s="68">
        <f aca="true" t="shared" si="5" ref="Q11:Q22">IF(P11="","",P11/N11)</f>
        <v>0.03030477617099729</v>
      </c>
    </row>
    <row r="12" spans="1:17" ht="11.25" customHeight="1">
      <c r="A12" s="20" t="s">
        <v>7</v>
      </c>
      <c r="B12" s="38">
        <v>11359</v>
      </c>
      <c r="C12" s="47">
        <v>10938</v>
      </c>
      <c r="D12" s="21">
        <f aca="true" t="shared" si="6" ref="D12:D22">IF(OR(C12="",B12=0),"",C12-B12)</f>
        <v>-421</v>
      </c>
      <c r="E12" s="68">
        <f t="shared" si="0"/>
        <v>-0.0370631217536755</v>
      </c>
      <c r="F12" s="38">
        <v>7247</v>
      </c>
      <c r="G12" s="47">
        <v>7660</v>
      </c>
      <c r="H12" s="21">
        <f aca="true" t="shared" si="7" ref="H12:H22">IF(OR(G12="",F12=0),"",G12-F12)</f>
        <v>413</v>
      </c>
      <c r="I12" s="68">
        <f t="shared" si="1"/>
        <v>0.05698909893749138</v>
      </c>
      <c r="J12" s="38">
        <v>1252</v>
      </c>
      <c r="K12" s="47">
        <v>546</v>
      </c>
      <c r="L12" s="21">
        <f aca="true" t="shared" si="8" ref="L12:L22">IF(OR(K12="",J12=0),"",K12-J12)</f>
        <v>-706</v>
      </c>
      <c r="M12" s="68">
        <f t="shared" si="2"/>
        <v>-0.5638977635782748</v>
      </c>
      <c r="N12" s="38">
        <f t="shared" si="3"/>
        <v>19858</v>
      </c>
      <c r="O12" s="34">
        <f t="shared" si="4"/>
        <v>19144</v>
      </c>
      <c r="P12" s="21">
        <f aca="true" t="shared" si="9" ref="P12:P22">IF(OR(O12="",N12=0),"",O12-N12)</f>
        <v>-714</v>
      </c>
      <c r="Q12" s="68">
        <f t="shared" si="5"/>
        <v>-0.035955282505791115</v>
      </c>
    </row>
    <row r="13" spans="1:17" ht="11.25" customHeight="1">
      <c r="A13" s="27" t="s">
        <v>8</v>
      </c>
      <c r="B13" s="40">
        <v>13057</v>
      </c>
      <c r="C13" s="48">
        <v>12924</v>
      </c>
      <c r="D13" s="22">
        <f t="shared" si="6"/>
        <v>-133</v>
      </c>
      <c r="E13" s="69">
        <f t="shared" si="0"/>
        <v>-0.010186107069005131</v>
      </c>
      <c r="F13" s="40">
        <v>8399</v>
      </c>
      <c r="G13" s="48">
        <v>7945</v>
      </c>
      <c r="H13" s="22">
        <f t="shared" si="7"/>
        <v>-454</v>
      </c>
      <c r="I13" s="69">
        <f t="shared" si="1"/>
        <v>-0.05405405405405406</v>
      </c>
      <c r="J13" s="40">
        <v>1449</v>
      </c>
      <c r="K13" s="48">
        <v>1408</v>
      </c>
      <c r="L13" s="22">
        <f t="shared" si="8"/>
        <v>-41</v>
      </c>
      <c r="M13" s="69">
        <f t="shared" si="2"/>
        <v>-0.028295376121463076</v>
      </c>
      <c r="N13" s="40">
        <f t="shared" si="3"/>
        <v>22905</v>
      </c>
      <c r="O13" s="35">
        <f t="shared" si="4"/>
        <v>22277</v>
      </c>
      <c r="P13" s="22">
        <f t="shared" si="9"/>
        <v>-628</v>
      </c>
      <c r="Q13" s="69">
        <f t="shared" si="5"/>
        <v>-0.027417594411700504</v>
      </c>
    </row>
    <row r="14" spans="1:17" ht="11.25" customHeight="1">
      <c r="A14" s="20" t="s">
        <v>9</v>
      </c>
      <c r="B14" s="38">
        <v>10855</v>
      </c>
      <c r="C14" s="47"/>
      <c r="D14" s="21">
        <f t="shared" si="6"/>
      </c>
      <c r="E14" s="68">
        <f t="shared" si="0"/>
      </c>
      <c r="F14" s="38">
        <v>7158</v>
      </c>
      <c r="G14" s="47"/>
      <c r="H14" s="21">
        <f t="shared" si="7"/>
      </c>
      <c r="I14" s="68">
        <f t="shared" si="1"/>
      </c>
      <c r="J14" s="38">
        <v>1538</v>
      </c>
      <c r="K14" s="47"/>
      <c r="L14" s="21">
        <f t="shared" si="8"/>
      </c>
      <c r="M14" s="68">
        <f t="shared" si="2"/>
      </c>
      <c r="N14" s="38">
        <f t="shared" si="3"/>
        <v>19551</v>
      </c>
      <c r="O14" s="34">
        <f t="shared" si="4"/>
      </c>
      <c r="P14" s="21">
        <f t="shared" si="9"/>
      </c>
      <c r="Q14" s="68">
        <f t="shared" si="5"/>
      </c>
    </row>
    <row r="15" spans="1:17" ht="11.25" customHeight="1">
      <c r="A15" s="20" t="s">
        <v>10</v>
      </c>
      <c r="B15" s="38">
        <v>13299</v>
      </c>
      <c r="C15" s="47"/>
      <c r="D15" s="21">
        <f t="shared" si="6"/>
      </c>
      <c r="E15" s="68">
        <f t="shared" si="0"/>
      </c>
      <c r="F15" s="38">
        <v>8268</v>
      </c>
      <c r="G15" s="47"/>
      <c r="H15" s="21">
        <f t="shared" si="7"/>
      </c>
      <c r="I15" s="68">
        <f t="shared" si="1"/>
      </c>
      <c r="J15" s="38">
        <v>360</v>
      </c>
      <c r="K15" s="47"/>
      <c r="L15" s="21">
        <f t="shared" si="8"/>
      </c>
      <c r="M15" s="68">
        <f t="shared" si="2"/>
      </c>
      <c r="N15" s="38">
        <f t="shared" si="3"/>
        <v>21927</v>
      </c>
      <c r="O15" s="34">
        <f t="shared" si="4"/>
      </c>
      <c r="P15" s="21">
        <f t="shared" si="9"/>
      </c>
      <c r="Q15" s="68">
        <f t="shared" si="5"/>
      </c>
    </row>
    <row r="16" spans="1:17" ht="11.25" customHeight="1">
      <c r="A16" s="27" t="s">
        <v>11</v>
      </c>
      <c r="B16" s="40">
        <v>10960</v>
      </c>
      <c r="C16" s="48"/>
      <c r="D16" s="22">
        <f t="shared" si="6"/>
      </c>
      <c r="E16" s="69">
        <f t="shared" si="0"/>
      </c>
      <c r="F16" s="40">
        <v>6716</v>
      </c>
      <c r="G16" s="48"/>
      <c r="H16" s="22">
        <f t="shared" si="7"/>
      </c>
      <c r="I16" s="69">
        <f t="shared" si="1"/>
      </c>
      <c r="J16" s="40">
        <v>1564</v>
      </c>
      <c r="K16" s="48"/>
      <c r="L16" s="22">
        <f t="shared" si="8"/>
      </c>
      <c r="M16" s="69">
        <f t="shared" si="2"/>
      </c>
      <c r="N16" s="40">
        <f t="shared" si="3"/>
        <v>19240</v>
      </c>
      <c r="O16" s="35">
        <f t="shared" si="4"/>
      </c>
      <c r="P16" s="22">
        <f t="shared" si="9"/>
      </c>
      <c r="Q16" s="69">
        <f t="shared" si="5"/>
      </c>
    </row>
    <row r="17" spans="1:17" ht="11.25" customHeight="1">
      <c r="A17" s="20" t="s">
        <v>12</v>
      </c>
      <c r="B17" s="38">
        <v>11597</v>
      </c>
      <c r="C17" s="47"/>
      <c r="D17" s="21">
        <f t="shared" si="6"/>
      </c>
      <c r="E17" s="68">
        <f t="shared" si="0"/>
      </c>
      <c r="F17" s="38">
        <v>7155</v>
      </c>
      <c r="G17" s="47"/>
      <c r="H17" s="21">
        <f t="shared" si="7"/>
      </c>
      <c r="I17" s="68">
        <f t="shared" si="1"/>
      </c>
      <c r="J17" s="38">
        <v>2631</v>
      </c>
      <c r="K17" s="47"/>
      <c r="L17" s="21">
        <f t="shared" si="8"/>
      </c>
      <c r="M17" s="68">
        <f t="shared" si="2"/>
      </c>
      <c r="N17" s="38">
        <f t="shared" si="3"/>
        <v>21383</v>
      </c>
      <c r="O17" s="34">
        <f t="shared" si="4"/>
      </c>
      <c r="P17" s="21">
        <f t="shared" si="9"/>
      </c>
      <c r="Q17" s="68">
        <f t="shared" si="5"/>
      </c>
    </row>
    <row r="18" spans="1:17" ht="11.25" customHeight="1">
      <c r="A18" s="20" t="s">
        <v>13</v>
      </c>
      <c r="B18" s="38">
        <v>11607</v>
      </c>
      <c r="C18" s="47"/>
      <c r="D18" s="21">
        <f t="shared" si="6"/>
      </c>
      <c r="E18" s="68">
        <f t="shared" si="0"/>
      </c>
      <c r="F18" s="38">
        <v>6193</v>
      </c>
      <c r="G18" s="47"/>
      <c r="H18" s="21">
        <f t="shared" si="7"/>
      </c>
      <c r="I18" s="68">
        <f t="shared" si="1"/>
      </c>
      <c r="J18" s="38">
        <v>2498</v>
      </c>
      <c r="K18" s="47"/>
      <c r="L18" s="21">
        <f t="shared" si="8"/>
      </c>
      <c r="M18" s="68">
        <f t="shared" si="2"/>
      </c>
      <c r="N18" s="38">
        <f t="shared" si="3"/>
        <v>20298</v>
      </c>
      <c r="O18" s="34">
        <f t="shared" si="4"/>
      </c>
      <c r="P18" s="21">
        <f t="shared" si="9"/>
      </c>
      <c r="Q18" s="68">
        <f t="shared" si="5"/>
      </c>
    </row>
    <row r="19" spans="1:17" ht="11.25" customHeight="1">
      <c r="A19" s="27" t="s">
        <v>14</v>
      </c>
      <c r="B19" s="40">
        <v>12647</v>
      </c>
      <c r="C19" s="48"/>
      <c r="D19" s="22">
        <f t="shared" si="6"/>
      </c>
      <c r="E19" s="69">
        <f t="shared" si="0"/>
      </c>
      <c r="F19" s="40">
        <v>7648</v>
      </c>
      <c r="G19" s="48"/>
      <c r="H19" s="22">
        <f t="shared" si="7"/>
      </c>
      <c r="I19" s="69">
        <f t="shared" si="1"/>
      </c>
      <c r="J19" s="40">
        <v>890</v>
      </c>
      <c r="K19" s="48"/>
      <c r="L19" s="22">
        <f t="shared" si="8"/>
      </c>
      <c r="M19" s="69">
        <f t="shared" si="2"/>
      </c>
      <c r="N19" s="40">
        <f t="shared" si="3"/>
        <v>21185</v>
      </c>
      <c r="O19" s="35">
        <f t="shared" si="4"/>
      </c>
      <c r="P19" s="22">
        <f t="shared" si="9"/>
      </c>
      <c r="Q19" s="69">
        <f t="shared" si="5"/>
      </c>
    </row>
    <row r="20" spans="1:17" ht="11.25" customHeight="1">
      <c r="A20" s="20" t="s">
        <v>15</v>
      </c>
      <c r="B20" s="38">
        <v>11448</v>
      </c>
      <c r="C20" s="47"/>
      <c r="D20" s="21">
        <f t="shared" si="6"/>
      </c>
      <c r="E20" s="68">
        <f t="shared" si="0"/>
      </c>
      <c r="F20" s="38">
        <v>7385</v>
      </c>
      <c r="G20" s="47"/>
      <c r="H20" s="21">
        <f t="shared" si="7"/>
      </c>
      <c r="I20" s="68">
        <f t="shared" si="1"/>
      </c>
      <c r="J20" s="38">
        <v>1164</v>
      </c>
      <c r="K20" s="47"/>
      <c r="L20" s="21">
        <f t="shared" si="8"/>
      </c>
      <c r="M20" s="68">
        <f t="shared" si="2"/>
      </c>
      <c r="N20" s="38">
        <f t="shared" si="3"/>
        <v>19997</v>
      </c>
      <c r="O20" s="34">
        <f t="shared" si="4"/>
      </c>
      <c r="P20" s="21">
        <f t="shared" si="9"/>
      </c>
      <c r="Q20" s="68">
        <f t="shared" si="5"/>
      </c>
    </row>
    <row r="21" spans="1:17" ht="11.25" customHeight="1">
      <c r="A21" s="20" t="s">
        <v>16</v>
      </c>
      <c r="B21" s="38">
        <v>12139</v>
      </c>
      <c r="C21" s="47"/>
      <c r="D21" s="21">
        <f t="shared" si="6"/>
      </c>
      <c r="E21" s="68">
        <f t="shared" si="0"/>
      </c>
      <c r="F21" s="38">
        <v>7587</v>
      </c>
      <c r="G21" s="47"/>
      <c r="H21" s="21">
        <f t="shared" si="7"/>
      </c>
      <c r="I21" s="68">
        <f t="shared" si="1"/>
      </c>
      <c r="J21" s="38">
        <v>1008</v>
      </c>
      <c r="K21" s="47"/>
      <c r="L21" s="21">
        <f t="shared" si="8"/>
      </c>
      <c r="M21" s="68">
        <f t="shared" si="2"/>
      </c>
      <c r="N21" s="38">
        <f t="shared" si="3"/>
        <v>20734</v>
      </c>
      <c r="O21" s="34">
        <f t="shared" si="4"/>
      </c>
      <c r="P21" s="21">
        <f t="shared" si="9"/>
      </c>
      <c r="Q21" s="68">
        <f t="shared" si="5"/>
      </c>
    </row>
    <row r="22" spans="1:17" ht="11.25" customHeight="1" thickBot="1">
      <c r="A22" s="23" t="s">
        <v>17</v>
      </c>
      <c r="B22" s="39">
        <v>9447</v>
      </c>
      <c r="C22" s="49"/>
      <c r="D22" s="21">
        <f t="shared" si="6"/>
      </c>
      <c r="E22" s="54">
        <f t="shared" si="0"/>
      </c>
      <c r="F22" s="39">
        <v>6244</v>
      </c>
      <c r="G22" s="49"/>
      <c r="H22" s="21">
        <f t="shared" si="7"/>
      </c>
      <c r="I22" s="54">
        <f t="shared" si="1"/>
      </c>
      <c r="J22" s="39">
        <v>1444</v>
      </c>
      <c r="K22" s="49"/>
      <c r="L22" s="21">
        <f t="shared" si="8"/>
      </c>
      <c r="M22" s="54">
        <f t="shared" si="2"/>
      </c>
      <c r="N22" s="39">
        <f t="shared" si="3"/>
        <v>17135</v>
      </c>
      <c r="O22" s="36">
        <f t="shared" si="4"/>
      </c>
      <c r="P22" s="21">
        <f t="shared" si="9"/>
      </c>
      <c r="Q22" s="54">
        <f t="shared" si="5"/>
      </c>
    </row>
    <row r="23" spans="1:17" ht="11.25" customHeight="1" thickBot="1">
      <c r="A23" s="44" t="s">
        <v>3</v>
      </c>
      <c r="B23" s="41">
        <f>IF(C17="",B24,B25)</f>
        <v>34286</v>
      </c>
      <c r="C23" s="42">
        <f>IF(C11="","",SUM(C11:C22))</f>
        <v>33850</v>
      </c>
      <c r="D23" s="43">
        <f>IF(C11="","",SUM(D11:D22))</f>
        <v>-436</v>
      </c>
      <c r="E23" s="61">
        <f>IF(OR(D23="",D23=0),"",D23/B23)</f>
        <v>-0.012716560695327539</v>
      </c>
      <c r="F23" s="41">
        <f>IF(G17="",F24,F25)</f>
        <v>22222</v>
      </c>
      <c r="G23" s="42">
        <f>IF(G11="","",SUM(G11:G22))</f>
        <v>22433</v>
      </c>
      <c r="H23" s="43">
        <f>IF(G11="","",SUM(H11:H22))</f>
        <v>211</v>
      </c>
      <c r="I23" s="61">
        <f>IF(OR(H23="",H23=0),"",H23/F23)</f>
        <v>0.00949509495094951</v>
      </c>
      <c r="J23" s="41">
        <f>IF(K17="",J24,J25)</f>
        <v>3612</v>
      </c>
      <c r="K23" s="42">
        <f>IF(K11="","",SUM(K11:K22))</f>
        <v>3021</v>
      </c>
      <c r="L23" s="43">
        <f>IF(K11="","",SUM(L11:L22))</f>
        <v>-591</v>
      </c>
      <c r="M23" s="61">
        <f>IF(OR(L23="",L23=0),"",L23/J23)</f>
        <v>-0.16362126245847175</v>
      </c>
      <c r="N23" s="41">
        <f>IF(O17="",N24,N25)</f>
        <v>60120</v>
      </c>
      <c r="O23" s="42">
        <f>IF(O11="","",SUM(O11:O22))</f>
        <v>59304</v>
      </c>
      <c r="P23" s="43">
        <f>IF(O11="","",SUM(P11:P22))</f>
        <v>-816</v>
      </c>
      <c r="Q23" s="61">
        <f>IF(OR(P23="",P23=0),"",P23/N23)</f>
        <v>-0.013572854291417165</v>
      </c>
    </row>
    <row r="24" spans="1:17" ht="11.25" customHeight="1">
      <c r="A24" s="85" t="s">
        <v>28</v>
      </c>
      <c r="B24" s="90">
        <f>IF(C16&lt;&gt;"",SUM(B11:B16),IF(C15&lt;&gt;"",SUM(B11:B15),IF(C14&lt;&gt;"",SUM(B11:B14),IF(C13&lt;&gt;"",SUM(B11:B13),IF(C12&lt;&gt;"",SUM(B11:B12),B11)))))</f>
        <v>34286</v>
      </c>
      <c r="C24" s="56">
        <f>COUNTIF(C11:C22,"&gt;0")</f>
        <v>3</v>
      </c>
      <c r="D24" s="56"/>
      <c r="E24" s="57"/>
      <c r="F24" s="90">
        <f>IF(G16&lt;&gt;"",SUM(F11:F16),IF(G15&lt;&gt;"",SUM(F11:F15),IF(G14&lt;&gt;"",SUM(F11:F14),IF(G13&lt;&gt;"",SUM(F11:F13),IF(G12&lt;&gt;"",SUM(F11:F12),F11)))))</f>
        <v>22222</v>
      </c>
      <c r="G24" s="56">
        <f>COUNTIF(G11:G22,"&gt;0")</f>
        <v>3</v>
      </c>
      <c r="H24" s="56"/>
      <c r="I24" s="57"/>
      <c r="J24" s="90">
        <f>IF(K16&lt;&gt;"",SUM(J11:J16),IF(K15&lt;&gt;"",SUM(J11:J15),IF(K14&lt;&gt;"",SUM(J11:J14),IF(K13&lt;&gt;"",SUM(J11:J13),IF(K12&lt;&gt;"",SUM(J11:J12),J11)))))</f>
        <v>3612</v>
      </c>
      <c r="K24" s="56">
        <f>COUNTIF(K11:K22,"&gt;0")</f>
        <v>3</v>
      </c>
      <c r="L24" s="56"/>
      <c r="M24" s="57"/>
      <c r="N24" s="90">
        <f>IF(O16&lt;&gt;"",SUM(N11:N16),IF(O15&lt;&gt;"",SUM(N11:N15),IF(O14&lt;&gt;"",SUM(N11:N14),IF(O13&lt;&gt;"",SUM(N11:N13),IF(O12&lt;&gt;"",SUM(N11:N12),N11)))))</f>
        <v>60120</v>
      </c>
      <c r="O24" s="56">
        <f>COUNTIF(O11:O22,"&gt;0")</f>
        <v>3</v>
      </c>
      <c r="P24" s="56"/>
      <c r="Q24" s="57"/>
    </row>
    <row r="25" spans="2:14" ht="11.25" customHeight="1">
      <c r="B25" s="88">
        <f>IF(C22&lt;&gt;"",SUM(B11:B22),IF(C21&lt;&gt;"",SUM(B11:B21),IF(C20&lt;&gt;"",SUM(B11:B20),IF(C19&lt;&gt;"",SUM(B11:B19),IF(C18&lt;&gt;"",SUM(B11:B18),SUM(B11:B17))))))</f>
        <v>80997</v>
      </c>
      <c r="F25" s="88">
        <f>IF(G22&lt;&gt;"",SUM(F11:F22),IF(G21&lt;&gt;"",SUM(F11:F21),IF(G20&lt;&gt;"",SUM(F11:F20),IF(G19&lt;&gt;"",SUM(F11:F19),IF(G18&lt;&gt;"",SUM(F11:F18),SUM(F11:F17))))))</f>
        <v>51519</v>
      </c>
      <c r="J25" s="88">
        <f>IF(K22&lt;&gt;"",SUM(J11:J22),IF(K21&lt;&gt;"",SUM(J11:J21),IF(K20&lt;&gt;"",SUM(J11:J20),IF(K19&lt;&gt;"",SUM(J11:J19),IF(K18&lt;&gt;"",SUM(J11:J18),SUM(J11:J17))))))</f>
        <v>9705</v>
      </c>
      <c r="N25" s="88">
        <f>IF(O22&lt;&gt;"",SUM(N11:N22),IF(O21&lt;&gt;"",SUM(N11:N21),IF(O20&lt;&gt;"",SUM(N11:N20),IF(O19&lt;&gt;"",SUM(N11:N19),IF(O18&lt;&gt;"",SUM(N11:N18),SUM(N11:N17))))))</f>
        <v>142221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63</v>
      </c>
      <c r="C30" s="12">
        <f>U43</f>
        <v>64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 aca="true" t="shared" si="10" ref="B31:B42">IF(C11="","",B11/$R31)</f>
        <v>493.5</v>
      </c>
      <c r="C31" s="78">
        <f aca="true" t="shared" si="11" ref="C31:C42">IF(C11="","",C11/$S31)</f>
        <v>475.6190476190476</v>
      </c>
      <c r="D31" s="74">
        <f>IF(OR(C31="",B31=0),"",C31-B31)</f>
        <v>-17.880952380952408</v>
      </c>
      <c r="E31" s="70">
        <f>IF(D31="","",(C31-B31)/ABS(B31))</f>
        <v>-0.0362329328894679</v>
      </c>
      <c r="F31" s="75">
        <f aca="true" t="shared" si="12" ref="F31:F42">IF(G11="","",F11/$R31)</f>
        <v>328.8</v>
      </c>
      <c r="G31" s="78">
        <f aca="true" t="shared" si="13" ref="G31:G42">IF(G11="","",G11/$S31)</f>
        <v>325.14285714285717</v>
      </c>
      <c r="H31" s="74">
        <f>IF(OR(G31="",F31=0),"",G31-F31)</f>
        <v>-3.657142857142844</v>
      </c>
      <c r="I31" s="70">
        <f>IF(H31="","",(G31-F31)/ABS(F31))</f>
        <v>-0.011122697254084076</v>
      </c>
      <c r="J31" s="75">
        <f aca="true" t="shared" si="14" ref="J31:J42">IF(K11="","",J11/$R31)</f>
        <v>45.55</v>
      </c>
      <c r="K31" s="78">
        <f aca="true" t="shared" si="15" ref="K31:K42">IF(K11="","",K11/$S31)</f>
        <v>50.80952380952381</v>
      </c>
      <c r="L31" s="74">
        <f>IF(OR(K31="",J31=0),"",K31-J31)</f>
        <v>5.259523809523813</v>
      </c>
      <c r="M31" s="70">
        <f>IF(L31="","",(K31-J31)/ABS(J31))</f>
        <v>0.1154670430191836</v>
      </c>
      <c r="N31" s="75">
        <f aca="true" t="shared" si="16" ref="N31:N42">IF(O11="","",N11/$R31)</f>
        <v>867.85</v>
      </c>
      <c r="O31" s="78">
        <f aca="true" t="shared" si="17" ref="O31:O42">IF(O11="","",O11/$S31)</f>
        <v>851.5714285714286</v>
      </c>
      <c r="P31" s="74">
        <f>IF(OR(O31="",N31=0),"",O31-N31)</f>
        <v>-16.278571428571468</v>
      </c>
      <c r="Q31" s="70">
        <f>IF(P31="","",(O31-N31)/ABS(N31))</f>
        <v>-0.01875735602762167</v>
      </c>
      <c r="R31" s="108">
        <v>20</v>
      </c>
      <c r="S31" s="65">
        <v>21</v>
      </c>
      <c r="T31" s="89">
        <f>IF(OR(N31="",N31=0),"",R31)</f>
        <v>20</v>
      </c>
      <c r="U31" s="89">
        <f>IF(OR(O31="",O31=0),"",S31)</f>
        <v>21</v>
      </c>
    </row>
    <row r="32" spans="1:21" ht="11.25" customHeight="1">
      <c r="A32" s="20" t="s">
        <v>7</v>
      </c>
      <c r="B32" s="75">
        <f t="shared" si="10"/>
        <v>567.95</v>
      </c>
      <c r="C32" s="78">
        <f t="shared" si="11"/>
        <v>546.9</v>
      </c>
      <c r="D32" s="74">
        <f aca="true" t="shared" si="18" ref="D32:D42">IF(OR(C32="",B32=0),"",C32-B32)</f>
        <v>-21.050000000000068</v>
      </c>
      <c r="E32" s="70">
        <f aca="true" t="shared" si="19" ref="E32:E42">IF(D32="","",(C32-B32)/ABS(B32))</f>
        <v>-0.03706312175367562</v>
      </c>
      <c r="F32" s="75">
        <f t="shared" si="12"/>
        <v>362.35</v>
      </c>
      <c r="G32" s="78">
        <f t="shared" si="13"/>
        <v>383</v>
      </c>
      <c r="H32" s="74">
        <f aca="true" t="shared" si="20" ref="H32:H42">IF(OR(G32="",F32=0),"",G32-F32)</f>
        <v>20.649999999999977</v>
      </c>
      <c r="I32" s="70">
        <f aca="true" t="shared" si="21" ref="I32:I42">IF(H32="","",(G32-F32)/ABS(F32))</f>
        <v>0.05698909893749131</v>
      </c>
      <c r="J32" s="75">
        <f t="shared" si="14"/>
        <v>62.6</v>
      </c>
      <c r="K32" s="78">
        <f t="shared" si="15"/>
        <v>27.3</v>
      </c>
      <c r="L32" s="74">
        <f aca="true" t="shared" si="22" ref="L32:L42">IF(OR(K32="",J32=0),"",K32-J32)</f>
        <v>-35.3</v>
      </c>
      <c r="M32" s="70">
        <f aca="true" t="shared" si="23" ref="M32:M42">IF(L32="","",(K32-J32)/ABS(J32))</f>
        <v>-0.5638977635782747</v>
      </c>
      <c r="N32" s="75">
        <f t="shared" si="16"/>
        <v>992.9</v>
      </c>
      <c r="O32" s="78">
        <f t="shared" si="17"/>
        <v>957.2</v>
      </c>
      <c r="P32" s="74">
        <f aca="true" t="shared" si="24" ref="P32:P42">IF(OR(O32="",N32=0),"",O32-N32)</f>
        <v>-35.69999999999993</v>
      </c>
      <c r="Q32" s="70">
        <f aca="true" t="shared" si="25" ref="Q32:Q42">IF(P32="","",(O32-N32)/ABS(N32))</f>
        <v>-0.035955282505791046</v>
      </c>
      <c r="R32" s="109"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46" t="s">
        <v>8</v>
      </c>
      <c r="B33" s="76">
        <f t="shared" si="10"/>
        <v>567.695652173913</v>
      </c>
      <c r="C33" s="79">
        <f t="shared" si="11"/>
        <v>561.9130434782609</v>
      </c>
      <c r="D33" s="81">
        <f t="shared" si="18"/>
        <v>-5.782608695652129</v>
      </c>
      <c r="E33" s="71">
        <f t="shared" si="19"/>
        <v>-0.010186107069005053</v>
      </c>
      <c r="F33" s="76">
        <f t="shared" si="12"/>
        <v>365.17391304347825</v>
      </c>
      <c r="G33" s="79">
        <f t="shared" si="13"/>
        <v>345.4347826086956</v>
      </c>
      <c r="H33" s="81">
        <f t="shared" si="20"/>
        <v>-19.739130434782624</v>
      </c>
      <c r="I33" s="71">
        <f t="shared" si="21"/>
        <v>-0.0540540540540541</v>
      </c>
      <c r="J33" s="76">
        <f t="shared" si="14"/>
        <v>63</v>
      </c>
      <c r="K33" s="79">
        <f t="shared" si="15"/>
        <v>61.21739130434783</v>
      </c>
      <c r="L33" s="81">
        <f t="shared" si="22"/>
        <v>-1.782608695652172</v>
      </c>
      <c r="M33" s="71">
        <f t="shared" si="23"/>
        <v>-0.02829537612146305</v>
      </c>
      <c r="N33" s="76">
        <f t="shared" si="16"/>
        <v>995.8695652173913</v>
      </c>
      <c r="O33" s="79">
        <f t="shared" si="17"/>
        <v>968.5652173913044</v>
      </c>
      <c r="P33" s="81">
        <f t="shared" si="24"/>
        <v>-27.304347826086882</v>
      </c>
      <c r="Q33" s="71">
        <f t="shared" si="25"/>
        <v>-0.02741759441170043</v>
      </c>
      <c r="R33" s="98">
        <v>23</v>
      </c>
      <c r="S33" s="98">
        <v>23</v>
      </c>
      <c r="T33" s="89">
        <f t="shared" si="26"/>
        <v>23</v>
      </c>
      <c r="U33" s="89">
        <f t="shared" si="26"/>
        <v>23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8"/>
      </c>
      <c r="E34" s="70">
        <f t="shared" si="19"/>
      </c>
      <c r="F34" s="75">
        <f t="shared" si="12"/>
      </c>
      <c r="G34" s="78">
        <f t="shared" si="13"/>
      </c>
      <c r="H34" s="74">
        <f t="shared" si="20"/>
      </c>
      <c r="I34" s="70">
        <f t="shared" si="21"/>
      </c>
      <c r="J34" s="75">
        <f t="shared" si="14"/>
      </c>
      <c r="K34" s="78">
        <f t="shared" si="15"/>
      </c>
      <c r="L34" s="74">
        <f t="shared" si="22"/>
      </c>
      <c r="M34" s="70">
        <f t="shared" si="23"/>
      </c>
      <c r="N34" s="75">
        <f t="shared" si="16"/>
      </c>
      <c r="O34" s="78">
        <f t="shared" si="17"/>
      </c>
      <c r="P34" s="74">
        <f t="shared" si="24"/>
      </c>
      <c r="Q34" s="70">
        <f t="shared" si="25"/>
      </c>
      <c r="R34" s="109">
        <v>20</v>
      </c>
      <c r="S34" s="65">
        <v>19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8"/>
      </c>
      <c r="E35" s="70">
        <f t="shared" si="19"/>
      </c>
      <c r="F35" s="75">
        <f t="shared" si="12"/>
      </c>
      <c r="G35" s="78">
        <f t="shared" si="13"/>
      </c>
      <c r="H35" s="74">
        <f t="shared" si="20"/>
      </c>
      <c r="I35" s="70">
        <f t="shared" si="21"/>
      </c>
      <c r="J35" s="75">
        <f t="shared" si="14"/>
      </c>
      <c r="K35" s="78">
        <f t="shared" si="15"/>
      </c>
      <c r="L35" s="74">
        <f t="shared" si="22"/>
      </c>
      <c r="M35" s="70">
        <f t="shared" si="23"/>
      </c>
      <c r="N35" s="75">
        <f t="shared" si="16"/>
      </c>
      <c r="O35" s="78">
        <f t="shared" si="17"/>
      </c>
      <c r="P35" s="74">
        <f t="shared" si="24"/>
      </c>
      <c r="Q35" s="70">
        <f t="shared" si="25"/>
      </c>
      <c r="R35" s="109">
        <v>19</v>
      </c>
      <c r="S35" s="65">
        <v>22</v>
      </c>
      <c r="T35" s="89">
        <f t="shared" si="26"/>
      </c>
      <c r="U35" s="89">
        <f t="shared" si="26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8"/>
      </c>
      <c r="E36" s="71">
        <f t="shared" si="19"/>
      </c>
      <c r="F36" s="76">
        <f t="shared" si="12"/>
      </c>
      <c r="G36" s="79">
        <f t="shared" si="13"/>
      </c>
      <c r="H36" s="81">
        <f t="shared" si="20"/>
      </c>
      <c r="I36" s="71">
        <f t="shared" si="21"/>
      </c>
      <c r="J36" s="76">
        <f t="shared" si="14"/>
      </c>
      <c r="K36" s="79">
        <f t="shared" si="15"/>
      </c>
      <c r="L36" s="81">
        <f t="shared" si="22"/>
      </c>
      <c r="M36" s="71">
        <f t="shared" si="23"/>
      </c>
      <c r="N36" s="76">
        <f t="shared" si="16"/>
      </c>
      <c r="O36" s="79">
        <f t="shared" si="17"/>
      </c>
      <c r="P36" s="81">
        <f t="shared" si="24"/>
      </c>
      <c r="Q36" s="71">
        <f t="shared" si="25"/>
      </c>
      <c r="R36" s="98">
        <v>22</v>
      </c>
      <c r="S36" s="98">
        <v>20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8"/>
      </c>
      <c r="E37" s="70">
        <f t="shared" si="19"/>
      </c>
      <c r="F37" s="75">
        <f t="shared" si="12"/>
      </c>
      <c r="G37" s="78">
        <f t="shared" si="13"/>
      </c>
      <c r="H37" s="74">
        <f t="shared" si="20"/>
      </c>
      <c r="I37" s="70">
        <f t="shared" si="21"/>
      </c>
      <c r="J37" s="75">
        <f t="shared" si="14"/>
      </c>
      <c r="K37" s="78">
        <f t="shared" si="15"/>
      </c>
      <c r="L37" s="74">
        <f t="shared" si="22"/>
      </c>
      <c r="M37" s="70">
        <f t="shared" si="23"/>
      </c>
      <c r="N37" s="75">
        <f t="shared" si="16"/>
      </c>
      <c r="O37" s="78">
        <f t="shared" si="17"/>
      </c>
      <c r="P37" s="74">
        <f t="shared" si="24"/>
      </c>
      <c r="Q37" s="70">
        <f t="shared" si="25"/>
      </c>
      <c r="R37" s="109">
        <v>22</v>
      </c>
      <c r="S37" s="65">
        <v>21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8"/>
      </c>
      <c r="E38" s="70">
        <f t="shared" si="19"/>
      </c>
      <c r="F38" s="75">
        <f t="shared" si="12"/>
      </c>
      <c r="G38" s="78">
        <f t="shared" si="13"/>
      </c>
      <c r="H38" s="74">
        <f t="shared" si="20"/>
      </c>
      <c r="I38" s="70">
        <f t="shared" si="21"/>
      </c>
      <c r="J38" s="75">
        <f t="shared" si="14"/>
      </c>
      <c r="K38" s="78">
        <f t="shared" si="15"/>
      </c>
      <c r="L38" s="74">
        <f t="shared" si="22"/>
      </c>
      <c r="M38" s="70">
        <f t="shared" si="23"/>
      </c>
      <c r="N38" s="75">
        <f t="shared" si="16"/>
      </c>
      <c r="O38" s="78">
        <f t="shared" si="17"/>
      </c>
      <c r="P38" s="74">
        <f t="shared" si="24"/>
      </c>
      <c r="Q38" s="70">
        <f t="shared" si="25"/>
      </c>
      <c r="R38" s="109">
        <v>22</v>
      </c>
      <c r="S38" s="65">
        <v>22</v>
      </c>
      <c r="T38" s="89">
        <f t="shared" si="26"/>
      </c>
      <c r="U38" s="89">
        <f t="shared" si="26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8"/>
      </c>
      <c r="E39" s="71">
        <f t="shared" si="19"/>
      </c>
      <c r="F39" s="76">
        <f t="shared" si="12"/>
      </c>
      <c r="G39" s="79">
        <f t="shared" si="13"/>
      </c>
      <c r="H39" s="81">
        <f t="shared" si="20"/>
      </c>
      <c r="I39" s="71">
        <f t="shared" si="21"/>
      </c>
      <c r="J39" s="76">
        <f t="shared" si="14"/>
      </c>
      <c r="K39" s="79">
        <f t="shared" si="15"/>
      </c>
      <c r="L39" s="81">
        <f t="shared" si="22"/>
      </c>
      <c r="M39" s="71">
        <f t="shared" si="23"/>
      </c>
      <c r="N39" s="76">
        <f t="shared" si="16"/>
      </c>
      <c r="O39" s="79">
        <f t="shared" si="17"/>
      </c>
      <c r="P39" s="81">
        <f t="shared" si="24"/>
      </c>
      <c r="Q39" s="71">
        <f t="shared" si="25"/>
      </c>
      <c r="R39" s="98">
        <v>21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8"/>
      </c>
      <c r="E40" s="70">
        <f t="shared" si="19"/>
      </c>
      <c r="F40" s="75">
        <f t="shared" si="12"/>
      </c>
      <c r="G40" s="78">
        <f t="shared" si="13"/>
      </c>
      <c r="H40" s="74">
        <f t="shared" si="20"/>
      </c>
      <c r="I40" s="70">
        <f t="shared" si="21"/>
      </c>
      <c r="J40" s="75">
        <f t="shared" si="14"/>
      </c>
      <c r="K40" s="78">
        <f t="shared" si="15"/>
      </c>
      <c r="L40" s="74">
        <f t="shared" si="22"/>
      </c>
      <c r="M40" s="70">
        <f t="shared" si="23"/>
      </c>
      <c r="N40" s="75">
        <f t="shared" si="16"/>
      </c>
      <c r="O40" s="78">
        <f t="shared" si="17"/>
      </c>
      <c r="P40" s="74">
        <f t="shared" si="24"/>
      </c>
      <c r="Q40" s="70">
        <f t="shared" si="25"/>
      </c>
      <c r="R40" s="109">
        <v>22</v>
      </c>
      <c r="S40" s="65">
        <v>21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8"/>
      </c>
      <c r="E41" s="70">
        <f t="shared" si="19"/>
      </c>
      <c r="F41" s="75">
        <f t="shared" si="12"/>
      </c>
      <c r="G41" s="78">
        <f t="shared" si="13"/>
      </c>
      <c r="H41" s="74">
        <f t="shared" si="20"/>
      </c>
      <c r="I41" s="70">
        <f t="shared" si="21"/>
      </c>
      <c r="J41" s="75">
        <f t="shared" si="14"/>
      </c>
      <c r="K41" s="78">
        <f t="shared" si="15"/>
      </c>
      <c r="L41" s="74">
        <f t="shared" si="22"/>
      </c>
      <c r="M41" s="70">
        <f t="shared" si="23"/>
      </c>
      <c r="N41" s="75">
        <f t="shared" si="16"/>
      </c>
      <c r="O41" s="78">
        <f t="shared" si="17"/>
      </c>
      <c r="P41" s="74">
        <f t="shared" si="24"/>
      </c>
      <c r="Q41" s="70">
        <f t="shared" si="25"/>
      </c>
      <c r="R41" s="109">
        <v>23</v>
      </c>
      <c r="S41" s="65">
        <v>22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8"/>
      </c>
      <c r="E42" s="70">
        <f t="shared" si="19"/>
      </c>
      <c r="F42" s="75">
        <f t="shared" si="12"/>
      </c>
      <c r="G42" s="78">
        <f t="shared" si="13"/>
      </c>
      <c r="H42" s="74">
        <f t="shared" si="20"/>
      </c>
      <c r="I42" s="70">
        <f t="shared" si="21"/>
      </c>
      <c r="J42" s="75">
        <f t="shared" si="14"/>
      </c>
      <c r="K42" s="78">
        <f t="shared" si="15"/>
      </c>
      <c r="L42" s="74">
        <f t="shared" si="22"/>
      </c>
      <c r="M42" s="70">
        <f t="shared" si="23"/>
      </c>
      <c r="N42" s="75">
        <f t="shared" si="16"/>
      </c>
      <c r="O42" s="78">
        <f t="shared" si="17"/>
      </c>
      <c r="P42" s="74">
        <f t="shared" si="24"/>
      </c>
      <c r="Q42" s="70">
        <f t="shared" si="25"/>
      </c>
      <c r="R42" s="110">
        <v>22</v>
      </c>
      <c r="S42" s="65">
        <v>21</v>
      </c>
      <c r="T42" s="89">
        <f t="shared" si="26"/>
      </c>
      <c r="U42" s="89">
        <f t="shared" si="26"/>
      </c>
    </row>
    <row r="43" spans="1:21" ht="11.25" customHeight="1" thickBot="1">
      <c r="A43" s="45" t="s">
        <v>29</v>
      </c>
      <c r="B43" s="77">
        <f>IF(B23=0,"",SUM(B31:B42)/B44)</f>
        <v>543.0485507246377</v>
      </c>
      <c r="C43" s="80">
        <f>IF(OR(C23=0,C23=""),"",SUM(C31:C42)/C44)</f>
        <v>528.1440303657695</v>
      </c>
      <c r="D43" s="72">
        <f>IF(B23=0,"",AVERAGE(D31:D42))</f>
        <v>-14.904520358868202</v>
      </c>
      <c r="E43" s="62">
        <f>IF(B23=0,"",AVERAGE(E31:E42))</f>
        <v>-0.027827387237382855</v>
      </c>
      <c r="F43" s="77">
        <f>IF(F23=0,"",SUM(F31:F42)/F44)</f>
        <v>352.10797101449276</v>
      </c>
      <c r="G43" s="80">
        <f>IF(OR(G23=0,G23=""),"",SUM(G31:G42)/G44)</f>
        <v>351.19254658385097</v>
      </c>
      <c r="H43" s="72">
        <f>IF(F23=0,"",AVERAGE(H31:H42))</f>
        <v>-0.9154244306418301</v>
      </c>
      <c r="I43" s="62">
        <f>IF(F23=0,"",AVERAGE(I31:I42))</f>
        <v>-0.002729217456882288</v>
      </c>
      <c r="J43" s="77">
        <f>IF(J23=0,"",SUM(J31:J42)/J44)</f>
        <v>57.050000000000004</v>
      </c>
      <c r="K43" s="80">
        <f>IF(OR(K23=0,K23=""),"",SUM(K31:K42)/K44)</f>
        <v>46.442305037957205</v>
      </c>
      <c r="L43" s="72">
        <f>IF(J23=0,"",AVERAGE(L31:L42))</f>
        <v>-10.607694962042785</v>
      </c>
      <c r="M43" s="62">
        <f>IF(J23=0,"",AVERAGE(M31:M42))</f>
        <v>-0.15890869889351805</v>
      </c>
      <c r="N43" s="77">
        <f>IF(N23=0,"",SUM(N31:N42)/N44)</f>
        <v>952.2065217391304</v>
      </c>
      <c r="O43" s="80">
        <f>IF(OR(O23=0,O23=""),"",SUM(O31:O42)/O44)</f>
        <v>925.7788819875777</v>
      </c>
      <c r="P43" s="72">
        <f>IF(N23=0,"",AVERAGE(P31:P42))</f>
        <v>-26.42763975155276</v>
      </c>
      <c r="Q43" s="62">
        <f>IF(N23=0,"",AVERAGE(Q31:Q42))</f>
        <v>-0.027376744315037716</v>
      </c>
      <c r="R43" s="99">
        <f>SUM(R31:R42)</f>
        <v>256</v>
      </c>
      <c r="S43" s="99">
        <f>SUM(S31:S42)</f>
        <v>254</v>
      </c>
      <c r="T43" s="89">
        <f>SUM(T31:T42)</f>
        <v>63</v>
      </c>
      <c r="U43" s="88">
        <f>SUM(U31:U42)</f>
        <v>64</v>
      </c>
    </row>
    <row r="44" spans="1:17" s="30" customFormat="1" ht="11.25" customHeight="1">
      <c r="A44" s="86" t="s">
        <v>28</v>
      </c>
      <c r="B44" s="58">
        <f>COUNTIF(B31:B42,"&gt;0")</f>
        <v>3</v>
      </c>
      <c r="C44" s="58">
        <f>COUNTIF(C31:C42,"&gt;0")</f>
        <v>3</v>
      </c>
      <c r="D44" s="59"/>
      <c r="E44" s="60"/>
      <c r="F44" s="58">
        <f>COUNTIF(F31:F42,"&gt;0")</f>
        <v>3</v>
      </c>
      <c r="G44" s="58">
        <f>COUNTIF(G31:G42,"&gt;0")</f>
        <v>3</v>
      </c>
      <c r="H44" s="59"/>
      <c r="I44" s="60"/>
      <c r="J44" s="58">
        <f>COUNTIF(J31:J42,"&gt;0")</f>
        <v>3</v>
      </c>
      <c r="K44" s="58">
        <f>COUNTIF(K31:K42,"&gt;0")</f>
        <v>3</v>
      </c>
      <c r="L44" s="59"/>
      <c r="M44" s="60"/>
      <c r="N44" s="58">
        <f>COUNTIF(N31:N42,"&gt;0")</f>
        <v>3</v>
      </c>
      <c r="O44" s="58">
        <f>COUNTIF(O31:O42,"&gt;0")</f>
        <v>3</v>
      </c>
      <c r="P44" s="59"/>
      <c r="Q44" s="60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P9:Q9"/>
    <mergeCell ref="F8:I8"/>
    <mergeCell ref="J8:M8"/>
    <mergeCell ref="N8:Q8"/>
    <mergeCell ref="H9:I9"/>
    <mergeCell ref="L9:M9"/>
    <mergeCell ref="B2:E2"/>
    <mergeCell ref="D3:E3"/>
    <mergeCell ref="B6:E7"/>
    <mergeCell ref="B26:E27"/>
    <mergeCell ref="B3:C3"/>
    <mergeCell ref="B8:E8"/>
    <mergeCell ref="D9:E9"/>
    <mergeCell ref="N28:Q28"/>
    <mergeCell ref="R30:S30"/>
    <mergeCell ref="D29:E29"/>
    <mergeCell ref="H29:I29"/>
    <mergeCell ref="L29:M29"/>
    <mergeCell ref="P29:Q29"/>
    <mergeCell ref="B28:E28"/>
    <mergeCell ref="F28:I28"/>
    <mergeCell ref="J28:M28"/>
  </mergeCells>
  <conditionalFormatting sqref="B13:B16 B18:B21 F13:F16 F18:F21 J13:J16 J18:J21 N13:N16 N18:N21">
    <cfRule type="expression" priority="1" dxfId="0" stopIfTrue="1">
      <formula>C13=""</formula>
    </cfRule>
  </conditionalFormatting>
  <conditionalFormatting sqref="B17 N22 B22 F17 F12 F22 J17 J12 J22 N17 N12">
    <cfRule type="expression" priority="2" dxfId="0" stopIfTrue="1">
      <formula>C12=""</formula>
    </cfRule>
  </conditionalFormatting>
  <conditionalFormatting sqref="R31:S43">
    <cfRule type="expression" priority="3" dxfId="3" stopIfTrue="1">
      <formula>R31&lt;$R31</formula>
    </cfRule>
    <cfRule type="expression" priority="4" dxfId="2" stopIfTrue="1">
      <formula>R31&gt;$R31</formula>
    </cfRule>
  </conditionalFormatting>
  <conditionalFormatting sqref="B12">
    <cfRule type="expression" priority="5" dxfId="0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7" t="s">
        <v>18</v>
      </c>
      <c r="B2" s="137" t="s">
        <v>50</v>
      </c>
      <c r="C2" s="137"/>
      <c r="D2" s="137"/>
      <c r="E2" s="137"/>
      <c r="Q2" s="92"/>
    </row>
    <row r="3" spans="1:17" ht="13.5" customHeight="1">
      <c r="A3" s="1"/>
      <c r="B3" s="128" t="s">
        <v>20</v>
      </c>
      <c r="C3" s="128"/>
      <c r="D3" s="138" t="s">
        <v>25</v>
      </c>
      <c r="E3" s="138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256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6565</v>
      </c>
      <c r="C11" s="47">
        <v>6828</v>
      </c>
      <c r="D11" s="21">
        <f>IF(OR(C11="",B11=0),"",C11-B11)</f>
        <v>263</v>
      </c>
      <c r="E11" s="68">
        <f aca="true" t="shared" si="0" ref="E11:E22">IF(D11="","",D11/B11)</f>
        <v>0.04006092916984006</v>
      </c>
      <c r="F11" s="38">
        <v>5079</v>
      </c>
      <c r="G11" s="47">
        <v>5421</v>
      </c>
      <c r="H11" s="21">
        <f>IF(OR(G11="",F11=0),"",G11-F11)</f>
        <v>342</v>
      </c>
      <c r="I11" s="68">
        <f aca="true" t="shared" si="1" ref="I11:I22">IF(H11="","",H11/F11)</f>
        <v>0.06733608978145304</v>
      </c>
      <c r="J11" s="38">
        <v>6153</v>
      </c>
      <c r="K11" s="47">
        <v>6626</v>
      </c>
      <c r="L11" s="21">
        <f>IF(OR(K11="",J11=0),"",K11-J11)</f>
        <v>473</v>
      </c>
      <c r="M11" s="68">
        <f aca="true" t="shared" si="2" ref="M11:M22">IF(L11="","",L11/J11)</f>
        <v>0.07687307004713148</v>
      </c>
      <c r="N11" s="38">
        <f aca="true" t="shared" si="3" ref="N11:N22">SUM(B11,F11,J11)</f>
        <v>17797</v>
      </c>
      <c r="O11" s="34">
        <f aca="true" t="shared" si="4" ref="O11:O22">IF(C11="","",SUM(C11,G11,K11))</f>
        <v>18875</v>
      </c>
      <c r="P11" s="21">
        <f>IF(OR(O11="",N11=0),"",O11-N11)</f>
        <v>1078</v>
      </c>
      <c r="Q11" s="68">
        <f aca="true" t="shared" si="5" ref="Q11:Q22">IF(P11="","",P11/N11)</f>
        <v>0.06057200651795246</v>
      </c>
    </row>
    <row r="12" spans="1:17" ht="11.25" customHeight="1">
      <c r="A12" s="20" t="s">
        <v>7</v>
      </c>
      <c r="B12" s="38">
        <v>7191</v>
      </c>
      <c r="C12" s="47">
        <v>7393</v>
      </c>
      <c r="D12" s="21">
        <f aca="true" t="shared" si="6" ref="D12:D22">IF(OR(C12="",B12=0),"",C12-B12)</f>
        <v>202</v>
      </c>
      <c r="E12" s="68">
        <f t="shared" si="0"/>
        <v>0.028090668891670143</v>
      </c>
      <c r="F12" s="38">
        <v>5536</v>
      </c>
      <c r="G12" s="47">
        <v>6009</v>
      </c>
      <c r="H12" s="21">
        <f aca="true" t="shared" si="7" ref="H12:H22">IF(OR(G12="",F12=0),"",G12-F12)</f>
        <v>473</v>
      </c>
      <c r="I12" s="68">
        <f t="shared" si="1"/>
        <v>0.0854407514450867</v>
      </c>
      <c r="J12" s="38">
        <v>7349</v>
      </c>
      <c r="K12" s="47">
        <v>7115</v>
      </c>
      <c r="L12" s="21">
        <f aca="true" t="shared" si="8" ref="L12:L22">IF(OR(K12="",J12=0),"",K12-J12)</f>
        <v>-234</v>
      </c>
      <c r="M12" s="68">
        <f t="shared" si="2"/>
        <v>-0.03184106681181113</v>
      </c>
      <c r="N12" s="38">
        <f t="shared" si="3"/>
        <v>20076</v>
      </c>
      <c r="O12" s="34">
        <f t="shared" si="4"/>
        <v>20517</v>
      </c>
      <c r="P12" s="21">
        <f aca="true" t="shared" si="9" ref="P12:P22">IF(OR(O12="",N12=0),"",O12-N12)</f>
        <v>441</v>
      </c>
      <c r="Q12" s="68">
        <f t="shared" si="5"/>
        <v>0.021966527196652718</v>
      </c>
    </row>
    <row r="13" spans="1:17" ht="11.25" customHeight="1">
      <c r="A13" s="27" t="s">
        <v>8</v>
      </c>
      <c r="B13" s="40">
        <v>8708</v>
      </c>
      <c r="C13" s="48">
        <v>8374</v>
      </c>
      <c r="D13" s="22">
        <f t="shared" si="6"/>
        <v>-334</v>
      </c>
      <c r="E13" s="69">
        <f t="shared" si="0"/>
        <v>-0.03835553514010106</v>
      </c>
      <c r="F13" s="40">
        <v>6792</v>
      </c>
      <c r="G13" s="48">
        <v>6872</v>
      </c>
      <c r="H13" s="22">
        <f t="shared" si="7"/>
        <v>80</v>
      </c>
      <c r="I13" s="69">
        <f t="shared" si="1"/>
        <v>0.011778563015312132</v>
      </c>
      <c r="J13" s="40">
        <v>10081</v>
      </c>
      <c r="K13" s="48">
        <v>9762</v>
      </c>
      <c r="L13" s="22">
        <f t="shared" si="8"/>
        <v>-319</v>
      </c>
      <c r="M13" s="69">
        <f t="shared" si="2"/>
        <v>-0.031643686142247794</v>
      </c>
      <c r="N13" s="40">
        <f t="shared" si="3"/>
        <v>25581</v>
      </c>
      <c r="O13" s="35">
        <f t="shared" si="4"/>
        <v>25008</v>
      </c>
      <c r="P13" s="22">
        <f t="shared" si="9"/>
        <v>-573</v>
      </c>
      <c r="Q13" s="69">
        <f t="shared" si="5"/>
        <v>-0.022399437082209452</v>
      </c>
    </row>
    <row r="14" spans="1:17" ht="11.25" customHeight="1">
      <c r="A14" s="20" t="s">
        <v>9</v>
      </c>
      <c r="B14" s="38">
        <v>7636</v>
      </c>
      <c r="C14" s="47"/>
      <c r="D14" s="21">
        <f t="shared" si="6"/>
      </c>
      <c r="E14" s="68">
        <f t="shared" si="0"/>
      </c>
      <c r="F14" s="38">
        <v>5698</v>
      </c>
      <c r="G14" s="47"/>
      <c r="H14" s="21">
        <f t="shared" si="7"/>
      </c>
      <c r="I14" s="68">
        <f t="shared" si="1"/>
      </c>
      <c r="J14" s="38">
        <v>8808</v>
      </c>
      <c r="K14" s="47"/>
      <c r="L14" s="21">
        <f t="shared" si="8"/>
      </c>
      <c r="M14" s="68">
        <f t="shared" si="2"/>
      </c>
      <c r="N14" s="38">
        <f t="shared" si="3"/>
        <v>22142</v>
      </c>
      <c r="O14" s="34">
        <f t="shared" si="4"/>
      </c>
      <c r="P14" s="21">
        <f t="shared" si="9"/>
      </c>
      <c r="Q14" s="68">
        <f t="shared" si="5"/>
      </c>
    </row>
    <row r="15" spans="1:17" ht="11.25" customHeight="1">
      <c r="A15" s="20" t="s">
        <v>10</v>
      </c>
      <c r="B15" s="38">
        <v>8590</v>
      </c>
      <c r="C15" s="47"/>
      <c r="D15" s="21">
        <f t="shared" si="6"/>
      </c>
      <c r="E15" s="68">
        <f t="shared" si="0"/>
      </c>
      <c r="F15" s="38">
        <v>6448</v>
      </c>
      <c r="G15" s="47"/>
      <c r="H15" s="21">
        <f t="shared" si="7"/>
      </c>
      <c r="I15" s="68">
        <f t="shared" si="1"/>
      </c>
      <c r="J15" s="38">
        <v>10213</v>
      </c>
      <c r="K15" s="47"/>
      <c r="L15" s="21">
        <f t="shared" si="8"/>
      </c>
      <c r="M15" s="68">
        <f t="shared" si="2"/>
      </c>
      <c r="N15" s="38">
        <f t="shared" si="3"/>
        <v>25251</v>
      </c>
      <c r="O15" s="34">
        <f t="shared" si="4"/>
      </c>
      <c r="P15" s="21">
        <f t="shared" si="9"/>
      </c>
      <c r="Q15" s="68">
        <f t="shared" si="5"/>
      </c>
    </row>
    <row r="16" spans="1:17" ht="11.25" customHeight="1">
      <c r="A16" s="27" t="s">
        <v>11</v>
      </c>
      <c r="B16" s="40">
        <v>8462</v>
      </c>
      <c r="C16" s="48"/>
      <c r="D16" s="22">
        <f t="shared" si="6"/>
      </c>
      <c r="E16" s="69">
        <f t="shared" si="0"/>
      </c>
      <c r="F16" s="40">
        <v>5581</v>
      </c>
      <c r="G16" s="48"/>
      <c r="H16" s="22">
        <f t="shared" si="7"/>
      </c>
      <c r="I16" s="69">
        <f t="shared" si="1"/>
      </c>
      <c r="J16" s="40">
        <v>8318</v>
      </c>
      <c r="K16" s="48"/>
      <c r="L16" s="22">
        <f t="shared" si="8"/>
      </c>
      <c r="M16" s="69">
        <f t="shared" si="2"/>
      </c>
      <c r="N16" s="40">
        <f t="shared" si="3"/>
        <v>22361</v>
      </c>
      <c r="O16" s="35">
        <f t="shared" si="4"/>
      </c>
      <c r="P16" s="22">
        <f t="shared" si="9"/>
      </c>
      <c r="Q16" s="69">
        <f t="shared" si="5"/>
      </c>
    </row>
    <row r="17" spans="1:17" ht="11.25" customHeight="1">
      <c r="A17" s="20" t="s">
        <v>12</v>
      </c>
      <c r="B17" s="38">
        <v>10043</v>
      </c>
      <c r="C17" s="47"/>
      <c r="D17" s="21">
        <f t="shared" si="6"/>
      </c>
      <c r="E17" s="68">
        <f t="shared" si="0"/>
      </c>
      <c r="F17" s="38">
        <v>6462</v>
      </c>
      <c r="G17" s="47"/>
      <c r="H17" s="21">
        <f t="shared" si="7"/>
      </c>
      <c r="I17" s="68">
        <f t="shared" si="1"/>
      </c>
      <c r="J17" s="38">
        <v>8203</v>
      </c>
      <c r="K17" s="47"/>
      <c r="L17" s="21">
        <f t="shared" si="8"/>
      </c>
      <c r="M17" s="68">
        <f t="shared" si="2"/>
      </c>
      <c r="N17" s="38">
        <f t="shared" si="3"/>
        <v>24708</v>
      </c>
      <c r="O17" s="34">
        <f t="shared" si="4"/>
      </c>
      <c r="P17" s="21">
        <f t="shared" si="9"/>
      </c>
      <c r="Q17" s="68">
        <f t="shared" si="5"/>
      </c>
    </row>
    <row r="18" spans="1:17" ht="11.25" customHeight="1">
      <c r="A18" s="20" t="s">
        <v>13</v>
      </c>
      <c r="B18" s="38">
        <v>8524</v>
      </c>
      <c r="C18" s="47"/>
      <c r="D18" s="21">
        <f t="shared" si="6"/>
      </c>
      <c r="E18" s="68">
        <f t="shared" si="0"/>
      </c>
      <c r="F18" s="38">
        <v>5130</v>
      </c>
      <c r="G18" s="47"/>
      <c r="H18" s="21">
        <f t="shared" si="7"/>
      </c>
      <c r="I18" s="68">
        <f t="shared" si="1"/>
      </c>
      <c r="J18" s="38">
        <v>8974</v>
      </c>
      <c r="K18" s="47"/>
      <c r="L18" s="21">
        <f t="shared" si="8"/>
      </c>
      <c r="M18" s="68">
        <f t="shared" si="2"/>
      </c>
      <c r="N18" s="38">
        <f t="shared" si="3"/>
        <v>22628</v>
      </c>
      <c r="O18" s="34">
        <f t="shared" si="4"/>
      </c>
      <c r="P18" s="21">
        <f t="shared" si="9"/>
      </c>
      <c r="Q18" s="68">
        <f t="shared" si="5"/>
      </c>
    </row>
    <row r="19" spans="1:17" ht="11.25" customHeight="1">
      <c r="A19" s="27" t="s">
        <v>14</v>
      </c>
      <c r="B19" s="40">
        <v>8190</v>
      </c>
      <c r="C19" s="48"/>
      <c r="D19" s="22">
        <f t="shared" si="6"/>
      </c>
      <c r="E19" s="69">
        <f t="shared" si="0"/>
      </c>
      <c r="F19" s="40">
        <v>6224</v>
      </c>
      <c r="G19" s="48"/>
      <c r="H19" s="22">
        <f t="shared" si="7"/>
      </c>
      <c r="I19" s="69">
        <f t="shared" si="1"/>
      </c>
      <c r="J19" s="40">
        <v>9656</v>
      </c>
      <c r="K19" s="48"/>
      <c r="L19" s="22">
        <f t="shared" si="8"/>
      </c>
      <c r="M19" s="69">
        <f t="shared" si="2"/>
      </c>
      <c r="N19" s="40">
        <f t="shared" si="3"/>
        <v>24070</v>
      </c>
      <c r="O19" s="35">
        <f t="shared" si="4"/>
      </c>
      <c r="P19" s="22">
        <f t="shared" si="9"/>
      </c>
      <c r="Q19" s="69">
        <f t="shared" si="5"/>
      </c>
    </row>
    <row r="20" spans="1:17" ht="11.25" customHeight="1">
      <c r="A20" s="20" t="s">
        <v>15</v>
      </c>
      <c r="B20" s="38">
        <v>7616</v>
      </c>
      <c r="C20" s="47"/>
      <c r="D20" s="21">
        <f t="shared" si="6"/>
      </c>
      <c r="E20" s="68">
        <f t="shared" si="0"/>
      </c>
      <c r="F20" s="38">
        <v>5941</v>
      </c>
      <c r="G20" s="47"/>
      <c r="H20" s="21">
        <f t="shared" si="7"/>
      </c>
      <c r="I20" s="68">
        <f t="shared" si="1"/>
      </c>
      <c r="J20" s="38">
        <v>8989</v>
      </c>
      <c r="K20" s="47"/>
      <c r="L20" s="21">
        <f t="shared" si="8"/>
      </c>
      <c r="M20" s="68">
        <f t="shared" si="2"/>
      </c>
      <c r="N20" s="38">
        <f t="shared" si="3"/>
        <v>22546</v>
      </c>
      <c r="O20" s="34">
        <f t="shared" si="4"/>
      </c>
      <c r="P20" s="21">
        <f t="shared" si="9"/>
      </c>
      <c r="Q20" s="68">
        <f t="shared" si="5"/>
      </c>
    </row>
    <row r="21" spans="1:17" ht="11.25" customHeight="1">
      <c r="A21" s="20" t="s">
        <v>16</v>
      </c>
      <c r="B21" s="38">
        <v>7552</v>
      </c>
      <c r="C21" s="47"/>
      <c r="D21" s="21">
        <f t="shared" si="6"/>
      </c>
      <c r="E21" s="68">
        <f t="shared" si="0"/>
      </c>
      <c r="F21" s="38">
        <v>6088</v>
      </c>
      <c r="G21" s="47"/>
      <c r="H21" s="21">
        <f t="shared" si="7"/>
      </c>
      <c r="I21" s="68">
        <f t="shared" si="1"/>
      </c>
      <c r="J21" s="38">
        <v>9381</v>
      </c>
      <c r="K21" s="47"/>
      <c r="L21" s="21">
        <f t="shared" si="8"/>
      </c>
      <c r="M21" s="68">
        <f t="shared" si="2"/>
      </c>
      <c r="N21" s="38">
        <f t="shared" si="3"/>
        <v>23021</v>
      </c>
      <c r="O21" s="34">
        <f t="shared" si="4"/>
      </c>
      <c r="P21" s="21">
        <f t="shared" si="9"/>
      </c>
      <c r="Q21" s="68">
        <f t="shared" si="5"/>
      </c>
    </row>
    <row r="22" spans="1:17" ht="11.25" customHeight="1" thickBot="1">
      <c r="A22" s="23" t="s">
        <v>17</v>
      </c>
      <c r="B22" s="39">
        <v>6199</v>
      </c>
      <c r="C22" s="49"/>
      <c r="D22" s="21">
        <f t="shared" si="6"/>
      </c>
      <c r="E22" s="54">
        <f t="shared" si="0"/>
      </c>
      <c r="F22" s="39">
        <v>5270</v>
      </c>
      <c r="G22" s="49"/>
      <c r="H22" s="21">
        <f t="shared" si="7"/>
      </c>
      <c r="I22" s="54">
        <f t="shared" si="1"/>
      </c>
      <c r="J22" s="39">
        <v>7189</v>
      </c>
      <c r="K22" s="49"/>
      <c r="L22" s="21">
        <f t="shared" si="8"/>
      </c>
      <c r="M22" s="54">
        <f t="shared" si="2"/>
      </c>
      <c r="N22" s="39">
        <f t="shared" si="3"/>
        <v>18658</v>
      </c>
      <c r="O22" s="36">
        <f t="shared" si="4"/>
      </c>
      <c r="P22" s="21">
        <f t="shared" si="9"/>
      </c>
      <c r="Q22" s="54">
        <f t="shared" si="5"/>
      </c>
    </row>
    <row r="23" spans="1:17" ht="11.25" customHeight="1" thickBot="1">
      <c r="A23" s="44" t="s">
        <v>3</v>
      </c>
      <c r="B23" s="41">
        <f>IF(C17="",B24,B25)</f>
        <v>22464</v>
      </c>
      <c r="C23" s="42">
        <f>IF(C11="","",SUM(C11:C22))</f>
        <v>22595</v>
      </c>
      <c r="D23" s="43">
        <f>IF(C11="","",SUM(D11:D22))</f>
        <v>131</v>
      </c>
      <c r="E23" s="61">
        <f>IF(OR(D23="",D23=0),"",D23/B23)</f>
        <v>0.005831552706552706</v>
      </c>
      <c r="F23" s="41">
        <f>IF(G17="",F24,F25)</f>
        <v>17407</v>
      </c>
      <c r="G23" s="42">
        <f>IF(G11="","",SUM(G11:G22))</f>
        <v>18302</v>
      </c>
      <c r="H23" s="43">
        <f>IF(G11="","",SUM(H11:H22))</f>
        <v>895</v>
      </c>
      <c r="I23" s="61">
        <f>IF(OR(H23="",H23=0),"",H23/F23)</f>
        <v>0.05141609697248233</v>
      </c>
      <c r="J23" s="41">
        <f>IF(K17="",J24,J25)</f>
        <v>23583</v>
      </c>
      <c r="K23" s="42">
        <f>IF(K11="","",SUM(K11:K22))</f>
        <v>23503</v>
      </c>
      <c r="L23" s="43">
        <f>IF(K11="","",SUM(L11:L22))</f>
        <v>-80</v>
      </c>
      <c r="M23" s="61">
        <f>IF(OR(L23="",L23=0),"",L23/J23)</f>
        <v>-0.0033922740957469362</v>
      </c>
      <c r="N23" s="41">
        <f>IF(O17="",N24,N25)</f>
        <v>63454</v>
      </c>
      <c r="O23" s="42">
        <f>IF(O11="","",SUM(O11:O22))</f>
        <v>64400</v>
      </c>
      <c r="P23" s="43">
        <f>IF(O11="","",SUM(P11:P22))</f>
        <v>946</v>
      </c>
      <c r="Q23" s="61">
        <f>IF(OR(P23="",P23=0),"",P23/N23)</f>
        <v>0.014908437608346203</v>
      </c>
    </row>
    <row r="24" spans="1:17" ht="11.25" customHeight="1">
      <c r="A24" s="85" t="s">
        <v>28</v>
      </c>
      <c r="B24" s="90">
        <f>IF(C16&lt;&gt;"",SUM(B11:B16),IF(C15&lt;&gt;"",SUM(B11:B15),IF(C14&lt;&gt;"",SUM(B11:B14),IF(C13&lt;&gt;"",SUM(B11:B13),IF(C12&lt;&gt;"",SUM(B11:B12),B11)))))</f>
        <v>22464</v>
      </c>
      <c r="C24" s="56">
        <f>COUNTIF(C11:C22,"&gt;0")</f>
        <v>3</v>
      </c>
      <c r="D24" s="56"/>
      <c r="E24" s="57"/>
      <c r="F24" s="90">
        <f>IF(G16&lt;&gt;"",SUM(F11:F16),IF(G15&lt;&gt;"",SUM(F11:F15),IF(G14&lt;&gt;"",SUM(F11:F14),IF(G13&lt;&gt;"",SUM(F11:F13),IF(G12&lt;&gt;"",SUM(F11:F12),F11)))))</f>
        <v>17407</v>
      </c>
      <c r="G24" s="56">
        <f>COUNTIF(G11:G22,"&gt;0")</f>
        <v>3</v>
      </c>
      <c r="H24" s="56"/>
      <c r="I24" s="57"/>
      <c r="J24" s="90">
        <f>IF(K16&lt;&gt;"",SUM(J11:J16),IF(K15&lt;&gt;"",SUM(J11:J15),IF(K14&lt;&gt;"",SUM(J11:J14),IF(K13&lt;&gt;"",SUM(J11:J13),IF(K12&lt;&gt;"",SUM(J11:J12),J11)))))</f>
        <v>23583</v>
      </c>
      <c r="K24" s="56">
        <f>COUNTIF(K11:K22,"&gt;0")</f>
        <v>3</v>
      </c>
      <c r="L24" s="56"/>
      <c r="M24" s="57"/>
      <c r="N24" s="90">
        <f>IF(O16&lt;&gt;"",SUM(N11:N16),IF(O15&lt;&gt;"",SUM(N11:N15),IF(O14&lt;&gt;"",SUM(N11:N14),IF(O13&lt;&gt;"",SUM(N11:N13),IF(O12&lt;&gt;"",SUM(N11:N12),N11)))))</f>
        <v>63454</v>
      </c>
      <c r="O24" s="56">
        <f>COUNTIF(O11:O22,"&gt;0")</f>
        <v>3</v>
      </c>
      <c r="P24" s="56"/>
      <c r="Q24" s="57"/>
    </row>
    <row r="25" spans="2:14" ht="11.25" customHeight="1">
      <c r="B25" s="88">
        <f>IF(C22&lt;&gt;"",SUM(B11:B22),IF(C21&lt;&gt;"",SUM(B11:B21),IF(C20&lt;&gt;"",SUM(B11:B20),IF(C19&lt;&gt;"",SUM(B11:B19),IF(C18&lt;&gt;"",SUM(B11:B18),SUM(B11:B17))))))</f>
        <v>57195</v>
      </c>
      <c r="F25" s="88">
        <f>IF(G22&lt;&gt;"",SUM(F11:F22),IF(G21&lt;&gt;"",SUM(F11:F21),IF(G20&lt;&gt;"",SUM(F11:F20),IF(G19&lt;&gt;"",SUM(F11:F19),IF(G18&lt;&gt;"",SUM(F11:F18),SUM(F11:F17))))))</f>
        <v>41596</v>
      </c>
      <c r="J25" s="88">
        <f>IF(K22&lt;&gt;"",SUM(J11:J22),IF(K21&lt;&gt;"",SUM(J11:J21),IF(K20&lt;&gt;"",SUM(J11:J20),IF(K19&lt;&gt;"",SUM(J11:J19),IF(K18&lt;&gt;"",SUM(J11:J18),SUM(J11:J17))))))</f>
        <v>59125</v>
      </c>
      <c r="N25" s="88">
        <f>IF(O22&lt;&gt;"",SUM(N11:N22),IF(O21&lt;&gt;"",SUM(N11:N21),IF(O20&lt;&gt;"",SUM(N11:N20),IF(O19&lt;&gt;"",SUM(N11:N19),IF(O18&lt;&gt;"",SUM(N11:N18),SUM(N11:N17))))))</f>
        <v>157916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63</v>
      </c>
      <c r="C30" s="12">
        <f>U43</f>
        <v>64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 aca="true" t="shared" si="10" ref="B31:B42">IF(C11="","",B11/$R31)</f>
        <v>328.25</v>
      </c>
      <c r="C31" s="78">
        <f aca="true" t="shared" si="11" ref="C31:C42">IF(C11="","",C11/$S31)</f>
        <v>325.14285714285717</v>
      </c>
      <c r="D31" s="74">
        <f>IF(OR(C31="",B31=0),"",C31-B31)</f>
        <v>-3.107142857142833</v>
      </c>
      <c r="E31" s="70">
        <f>IF(D31="","",(C31-B31)/ABS(B31))</f>
        <v>-0.009465781743009391</v>
      </c>
      <c r="F31" s="75">
        <f aca="true" t="shared" si="12" ref="F31:F42">IF(G11="","",F11/$R31)</f>
        <v>253.95</v>
      </c>
      <c r="G31" s="78">
        <f aca="true" t="shared" si="13" ref="G31:G42">IF(G11="","",G11/$S31)</f>
        <v>258.14285714285717</v>
      </c>
      <c r="H31" s="74">
        <f>IF(OR(G31="",F31=0),"",G31-F31)</f>
        <v>4.192857142857179</v>
      </c>
      <c r="I31" s="70">
        <f>IF(H31="","",(G31-F31)/ABS(F31))</f>
        <v>0.016510561696622086</v>
      </c>
      <c r="J31" s="75">
        <f aca="true" t="shared" si="14" ref="J31:J42">IF(K11="","",J11/$R31)</f>
        <v>307.65</v>
      </c>
      <c r="K31" s="78">
        <f aca="true" t="shared" si="15" ref="K31:K42">IF(K11="","",K11/$S31)</f>
        <v>315.5238095238095</v>
      </c>
      <c r="L31" s="74">
        <f>IF(OR(K31="",J31=0),"",K31-J31)</f>
        <v>7.873809523809541</v>
      </c>
      <c r="M31" s="70">
        <f>IF(L31="","",(K31-J31)/ABS(J31))</f>
        <v>0.025593400044887183</v>
      </c>
      <c r="N31" s="75">
        <f aca="true" t="shared" si="16" ref="N31:N42">IF(O11="","",N11/$R31)</f>
        <v>889.85</v>
      </c>
      <c r="O31" s="78">
        <f aca="true" t="shared" si="17" ref="O31:O42">IF(O11="","",O11/$S31)</f>
        <v>898.8095238095239</v>
      </c>
      <c r="P31" s="74">
        <f>IF(OR(O31="",N31=0),"",O31-N31)</f>
        <v>8.95952380952383</v>
      </c>
      <c r="Q31" s="70">
        <f>IF(P31="","",(O31-N31)/ABS(N31))</f>
        <v>0.010068577636145227</v>
      </c>
      <c r="R31" s="108">
        <v>20</v>
      </c>
      <c r="S31" s="65">
        <v>21</v>
      </c>
      <c r="T31" s="89">
        <f>IF(OR(N31="",N31=0),"",R31)</f>
        <v>20</v>
      </c>
      <c r="U31" s="89">
        <f>IF(OR(O31="",O31=0),"",S31)</f>
        <v>21</v>
      </c>
    </row>
    <row r="32" spans="1:21" ht="11.25" customHeight="1">
      <c r="A32" s="20" t="s">
        <v>7</v>
      </c>
      <c r="B32" s="75">
        <f t="shared" si="10"/>
        <v>359.55</v>
      </c>
      <c r="C32" s="78">
        <f t="shared" si="11"/>
        <v>369.65</v>
      </c>
      <c r="D32" s="74">
        <f aca="true" t="shared" si="18" ref="D32:D42">IF(OR(C32="",B32=0),"",C32-B32)</f>
        <v>10.099999999999966</v>
      </c>
      <c r="E32" s="70">
        <f aca="true" t="shared" si="19" ref="E32:E42">IF(D32="","",(C32-B32)/ABS(B32))</f>
        <v>0.028090668891670046</v>
      </c>
      <c r="F32" s="75">
        <f t="shared" si="12"/>
        <v>276.8</v>
      </c>
      <c r="G32" s="78">
        <f t="shared" si="13"/>
        <v>300.45</v>
      </c>
      <c r="H32" s="74">
        <f aca="true" t="shared" si="20" ref="H32:H42">IF(OR(G32="",F32=0),"",G32-F32)</f>
        <v>23.649999999999977</v>
      </c>
      <c r="I32" s="70">
        <f aca="true" t="shared" si="21" ref="I32:I42">IF(H32="","",(G32-F32)/ABS(F32))</f>
        <v>0.08544075144508662</v>
      </c>
      <c r="J32" s="75">
        <f t="shared" si="14"/>
        <v>367.45</v>
      </c>
      <c r="K32" s="78">
        <f t="shared" si="15"/>
        <v>355.75</v>
      </c>
      <c r="L32" s="74">
        <f aca="true" t="shared" si="22" ref="L32:L42">IF(OR(K32="",J32=0),"",K32-J32)</f>
        <v>-11.699999999999989</v>
      </c>
      <c r="M32" s="70">
        <f aca="true" t="shared" si="23" ref="M32:M42">IF(L32="","",(K32-J32)/ABS(J32))</f>
        <v>-0.0318410668118111</v>
      </c>
      <c r="N32" s="75">
        <f t="shared" si="16"/>
        <v>1003.8</v>
      </c>
      <c r="O32" s="78">
        <f t="shared" si="17"/>
        <v>1025.85</v>
      </c>
      <c r="P32" s="74">
        <f aca="true" t="shared" si="24" ref="P32:P42">IF(OR(O32="",N32=0),"",O32-N32)</f>
        <v>22.049999999999955</v>
      </c>
      <c r="Q32" s="70">
        <f aca="true" t="shared" si="25" ref="Q32:Q42">IF(P32="","",(O32-N32)/ABS(N32))</f>
        <v>0.021966527196652676</v>
      </c>
      <c r="R32" s="109"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46" t="s">
        <v>8</v>
      </c>
      <c r="B33" s="76">
        <f t="shared" si="10"/>
        <v>378.60869565217394</v>
      </c>
      <c r="C33" s="79">
        <f t="shared" si="11"/>
        <v>364.0869565217391</v>
      </c>
      <c r="D33" s="81">
        <f t="shared" si="18"/>
        <v>-14.52173913043481</v>
      </c>
      <c r="E33" s="71">
        <f t="shared" si="19"/>
        <v>-0.03835553514010113</v>
      </c>
      <c r="F33" s="76">
        <f t="shared" si="12"/>
        <v>295.30434782608694</v>
      </c>
      <c r="G33" s="79">
        <f t="shared" si="13"/>
        <v>298.7826086956522</v>
      </c>
      <c r="H33" s="81">
        <f t="shared" si="20"/>
        <v>3.478260869565247</v>
      </c>
      <c r="I33" s="71">
        <f t="shared" si="21"/>
        <v>0.011778563015312233</v>
      </c>
      <c r="J33" s="76">
        <f t="shared" si="14"/>
        <v>438.30434782608694</v>
      </c>
      <c r="K33" s="79">
        <f t="shared" si="15"/>
        <v>424.4347826086956</v>
      </c>
      <c r="L33" s="81">
        <f t="shared" si="22"/>
        <v>-13.869565217391312</v>
      </c>
      <c r="M33" s="71">
        <f t="shared" si="23"/>
        <v>-0.03164368614224781</v>
      </c>
      <c r="N33" s="76">
        <f t="shared" si="16"/>
        <v>1112.2173913043478</v>
      </c>
      <c r="O33" s="79">
        <f t="shared" si="17"/>
        <v>1087.304347826087</v>
      </c>
      <c r="P33" s="81">
        <f t="shared" si="24"/>
        <v>-24.91304347826076</v>
      </c>
      <c r="Q33" s="71">
        <f t="shared" si="25"/>
        <v>-0.022399437082209355</v>
      </c>
      <c r="R33" s="98">
        <v>23</v>
      </c>
      <c r="S33" s="98">
        <v>23</v>
      </c>
      <c r="T33" s="89">
        <f t="shared" si="26"/>
        <v>23</v>
      </c>
      <c r="U33" s="89">
        <f t="shared" si="26"/>
        <v>23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8"/>
      </c>
      <c r="E34" s="70">
        <f t="shared" si="19"/>
      </c>
      <c r="F34" s="75">
        <f t="shared" si="12"/>
      </c>
      <c r="G34" s="78">
        <f t="shared" si="13"/>
      </c>
      <c r="H34" s="74">
        <f t="shared" si="20"/>
      </c>
      <c r="I34" s="70">
        <f t="shared" si="21"/>
      </c>
      <c r="J34" s="75">
        <f t="shared" si="14"/>
      </c>
      <c r="K34" s="78">
        <f t="shared" si="15"/>
      </c>
      <c r="L34" s="74">
        <f t="shared" si="22"/>
      </c>
      <c r="M34" s="70">
        <f t="shared" si="23"/>
      </c>
      <c r="N34" s="75">
        <f t="shared" si="16"/>
      </c>
      <c r="O34" s="78">
        <f t="shared" si="17"/>
      </c>
      <c r="P34" s="74">
        <f t="shared" si="24"/>
      </c>
      <c r="Q34" s="70">
        <f t="shared" si="25"/>
      </c>
      <c r="R34" s="109">
        <v>20</v>
      </c>
      <c r="S34" s="65">
        <v>19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8"/>
      </c>
      <c r="E35" s="70">
        <f t="shared" si="19"/>
      </c>
      <c r="F35" s="75">
        <f t="shared" si="12"/>
      </c>
      <c r="G35" s="78">
        <f t="shared" si="13"/>
      </c>
      <c r="H35" s="74">
        <f t="shared" si="20"/>
      </c>
      <c r="I35" s="70">
        <f t="shared" si="21"/>
      </c>
      <c r="J35" s="75">
        <f t="shared" si="14"/>
      </c>
      <c r="K35" s="78">
        <f t="shared" si="15"/>
      </c>
      <c r="L35" s="74">
        <f t="shared" si="22"/>
      </c>
      <c r="M35" s="70">
        <f t="shared" si="23"/>
      </c>
      <c r="N35" s="75">
        <f t="shared" si="16"/>
      </c>
      <c r="O35" s="78">
        <f t="shared" si="17"/>
      </c>
      <c r="P35" s="74">
        <f t="shared" si="24"/>
      </c>
      <c r="Q35" s="70">
        <f t="shared" si="25"/>
      </c>
      <c r="R35" s="109">
        <v>19</v>
      </c>
      <c r="S35" s="65">
        <v>22</v>
      </c>
      <c r="T35" s="89">
        <f t="shared" si="26"/>
      </c>
      <c r="U35" s="89">
        <f t="shared" si="26"/>
      </c>
    </row>
    <row r="36" spans="1:21" ht="11.25" customHeight="1">
      <c r="A36" s="46" t="s">
        <v>11</v>
      </c>
      <c r="B36" s="76">
        <f t="shared" si="10"/>
      </c>
      <c r="C36" s="79">
        <f t="shared" si="11"/>
      </c>
      <c r="D36" s="81">
        <f t="shared" si="18"/>
      </c>
      <c r="E36" s="71">
        <f t="shared" si="19"/>
      </c>
      <c r="F36" s="76">
        <f t="shared" si="12"/>
      </c>
      <c r="G36" s="79">
        <f t="shared" si="13"/>
      </c>
      <c r="H36" s="81">
        <f t="shared" si="20"/>
      </c>
      <c r="I36" s="71">
        <f t="shared" si="21"/>
      </c>
      <c r="J36" s="76">
        <f t="shared" si="14"/>
      </c>
      <c r="K36" s="79">
        <f t="shared" si="15"/>
      </c>
      <c r="L36" s="81">
        <f t="shared" si="22"/>
      </c>
      <c r="M36" s="71">
        <f t="shared" si="23"/>
      </c>
      <c r="N36" s="76">
        <f t="shared" si="16"/>
      </c>
      <c r="O36" s="79">
        <f t="shared" si="17"/>
      </c>
      <c r="P36" s="81">
        <f t="shared" si="24"/>
      </c>
      <c r="Q36" s="71">
        <f t="shared" si="25"/>
      </c>
      <c r="R36" s="98">
        <v>22</v>
      </c>
      <c r="S36" s="98">
        <v>20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8"/>
      </c>
      <c r="E37" s="70">
        <f t="shared" si="19"/>
      </c>
      <c r="F37" s="75">
        <f t="shared" si="12"/>
      </c>
      <c r="G37" s="78">
        <f t="shared" si="13"/>
      </c>
      <c r="H37" s="74">
        <f t="shared" si="20"/>
      </c>
      <c r="I37" s="70">
        <f t="shared" si="21"/>
      </c>
      <c r="J37" s="75">
        <f t="shared" si="14"/>
      </c>
      <c r="K37" s="78">
        <f t="shared" si="15"/>
      </c>
      <c r="L37" s="74">
        <f t="shared" si="22"/>
      </c>
      <c r="M37" s="70">
        <f t="shared" si="23"/>
      </c>
      <c r="N37" s="75">
        <f t="shared" si="16"/>
      </c>
      <c r="O37" s="78">
        <f t="shared" si="17"/>
      </c>
      <c r="P37" s="74">
        <f t="shared" si="24"/>
      </c>
      <c r="Q37" s="70">
        <f t="shared" si="25"/>
      </c>
      <c r="R37" s="109">
        <v>22</v>
      </c>
      <c r="S37" s="65">
        <v>21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8"/>
      </c>
      <c r="E38" s="70">
        <f t="shared" si="19"/>
      </c>
      <c r="F38" s="75">
        <f t="shared" si="12"/>
      </c>
      <c r="G38" s="78">
        <f t="shared" si="13"/>
      </c>
      <c r="H38" s="74">
        <f t="shared" si="20"/>
      </c>
      <c r="I38" s="70">
        <f t="shared" si="21"/>
      </c>
      <c r="J38" s="75">
        <f t="shared" si="14"/>
      </c>
      <c r="K38" s="78">
        <f t="shared" si="15"/>
      </c>
      <c r="L38" s="74">
        <f t="shared" si="22"/>
      </c>
      <c r="M38" s="70">
        <f t="shared" si="23"/>
      </c>
      <c r="N38" s="75">
        <f t="shared" si="16"/>
      </c>
      <c r="O38" s="78">
        <f t="shared" si="17"/>
      </c>
      <c r="P38" s="74">
        <f t="shared" si="24"/>
      </c>
      <c r="Q38" s="70">
        <f t="shared" si="25"/>
      </c>
      <c r="R38" s="109">
        <v>22</v>
      </c>
      <c r="S38" s="65">
        <v>22</v>
      </c>
      <c r="T38" s="89">
        <f t="shared" si="26"/>
      </c>
      <c r="U38" s="89">
        <f t="shared" si="26"/>
      </c>
    </row>
    <row r="39" spans="1:21" ht="11.25" customHeight="1">
      <c r="A39" s="46" t="s">
        <v>14</v>
      </c>
      <c r="B39" s="76">
        <f t="shared" si="10"/>
      </c>
      <c r="C39" s="79">
        <f t="shared" si="11"/>
      </c>
      <c r="D39" s="81">
        <f t="shared" si="18"/>
      </c>
      <c r="E39" s="71">
        <f t="shared" si="19"/>
      </c>
      <c r="F39" s="76">
        <f t="shared" si="12"/>
      </c>
      <c r="G39" s="79">
        <f t="shared" si="13"/>
      </c>
      <c r="H39" s="81">
        <f t="shared" si="20"/>
      </c>
      <c r="I39" s="71">
        <f t="shared" si="21"/>
      </c>
      <c r="J39" s="76">
        <f t="shared" si="14"/>
      </c>
      <c r="K39" s="79">
        <f t="shared" si="15"/>
      </c>
      <c r="L39" s="81">
        <f t="shared" si="22"/>
      </c>
      <c r="M39" s="71">
        <f t="shared" si="23"/>
      </c>
      <c r="N39" s="76">
        <f t="shared" si="16"/>
      </c>
      <c r="O39" s="79">
        <f t="shared" si="17"/>
      </c>
      <c r="P39" s="81">
        <f t="shared" si="24"/>
      </c>
      <c r="Q39" s="71">
        <f t="shared" si="25"/>
      </c>
      <c r="R39" s="98">
        <v>21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8"/>
      </c>
      <c r="E40" s="70">
        <f t="shared" si="19"/>
      </c>
      <c r="F40" s="75">
        <f t="shared" si="12"/>
      </c>
      <c r="G40" s="78">
        <f t="shared" si="13"/>
      </c>
      <c r="H40" s="74">
        <f t="shared" si="20"/>
      </c>
      <c r="I40" s="70">
        <f t="shared" si="21"/>
      </c>
      <c r="J40" s="75">
        <f t="shared" si="14"/>
      </c>
      <c r="K40" s="78">
        <f t="shared" si="15"/>
      </c>
      <c r="L40" s="74">
        <f t="shared" si="22"/>
      </c>
      <c r="M40" s="70">
        <f t="shared" si="23"/>
      </c>
      <c r="N40" s="75">
        <f t="shared" si="16"/>
      </c>
      <c r="O40" s="78">
        <f t="shared" si="17"/>
      </c>
      <c r="P40" s="74">
        <f t="shared" si="24"/>
      </c>
      <c r="Q40" s="70">
        <f t="shared" si="25"/>
      </c>
      <c r="R40" s="109">
        <v>22</v>
      </c>
      <c r="S40" s="65">
        <v>21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8"/>
      </c>
      <c r="E41" s="70">
        <f t="shared" si="19"/>
      </c>
      <c r="F41" s="75">
        <f t="shared" si="12"/>
      </c>
      <c r="G41" s="78">
        <f t="shared" si="13"/>
      </c>
      <c r="H41" s="74">
        <f t="shared" si="20"/>
      </c>
      <c r="I41" s="70">
        <f t="shared" si="21"/>
      </c>
      <c r="J41" s="75">
        <f t="shared" si="14"/>
      </c>
      <c r="K41" s="78">
        <f t="shared" si="15"/>
      </c>
      <c r="L41" s="74">
        <f t="shared" si="22"/>
      </c>
      <c r="M41" s="70">
        <f t="shared" si="23"/>
      </c>
      <c r="N41" s="75">
        <f t="shared" si="16"/>
      </c>
      <c r="O41" s="78">
        <f t="shared" si="17"/>
      </c>
      <c r="P41" s="74">
        <f t="shared" si="24"/>
      </c>
      <c r="Q41" s="70">
        <f t="shared" si="25"/>
      </c>
      <c r="R41" s="109">
        <v>23</v>
      </c>
      <c r="S41" s="65">
        <v>22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8"/>
      </c>
      <c r="E42" s="70">
        <f t="shared" si="19"/>
      </c>
      <c r="F42" s="75">
        <f t="shared" si="12"/>
      </c>
      <c r="G42" s="78">
        <f t="shared" si="13"/>
      </c>
      <c r="H42" s="74">
        <f t="shared" si="20"/>
      </c>
      <c r="I42" s="70">
        <f t="shared" si="21"/>
      </c>
      <c r="J42" s="75">
        <f t="shared" si="14"/>
      </c>
      <c r="K42" s="78">
        <f t="shared" si="15"/>
      </c>
      <c r="L42" s="74">
        <f t="shared" si="22"/>
      </c>
      <c r="M42" s="70">
        <f t="shared" si="23"/>
      </c>
      <c r="N42" s="75">
        <f t="shared" si="16"/>
      </c>
      <c r="O42" s="78">
        <f t="shared" si="17"/>
      </c>
      <c r="P42" s="74">
        <f t="shared" si="24"/>
      </c>
      <c r="Q42" s="70">
        <f t="shared" si="25"/>
      </c>
      <c r="R42" s="110">
        <v>22</v>
      </c>
      <c r="S42" s="65">
        <v>21</v>
      </c>
      <c r="T42" s="89">
        <f t="shared" si="26"/>
      </c>
      <c r="U42" s="89">
        <f t="shared" si="26"/>
      </c>
    </row>
    <row r="43" spans="1:21" ht="11.25" customHeight="1" thickBot="1">
      <c r="A43" s="45" t="s">
        <v>29</v>
      </c>
      <c r="B43" s="77">
        <f>IF(B23=0,"",SUM(B31:B42)/B44)</f>
        <v>355.46956521739133</v>
      </c>
      <c r="C43" s="80">
        <f>IF(OR(C23=0,C23=""),"",SUM(C31:C42)/C44)</f>
        <v>352.9599378881988</v>
      </c>
      <c r="D43" s="72">
        <f>IF(B23=0,"",AVERAGE(D31:D42))</f>
        <v>-2.509627329192559</v>
      </c>
      <c r="E43" s="62">
        <f>IF(B23=0,"",AVERAGE(E31:E42))</f>
        <v>-0.006576882663813492</v>
      </c>
      <c r="F43" s="77">
        <f>IF(F23=0,"",SUM(F31:F42)/F44)</f>
        <v>275.3514492753623</v>
      </c>
      <c r="G43" s="80">
        <f>IF(OR(G23=0,G23=""),"",SUM(G31:G42)/G44)</f>
        <v>285.7918219461698</v>
      </c>
      <c r="H43" s="72">
        <f>IF(F23=0,"",AVERAGE(H31:H42))</f>
        <v>10.440372670807468</v>
      </c>
      <c r="I43" s="62">
        <f>IF(F23=0,"",AVERAGE(I31:I42))</f>
        <v>0.03790995871900698</v>
      </c>
      <c r="J43" s="77">
        <f>IF(J23=0,"",SUM(J31:J42)/J44)</f>
        <v>371.1347826086956</v>
      </c>
      <c r="K43" s="80">
        <f>IF(OR(K23=0,K23=""),"",SUM(K31:K42)/K44)</f>
        <v>365.2361973775017</v>
      </c>
      <c r="L43" s="72">
        <f>IF(J23=0,"",AVERAGE(L31:L42))</f>
        <v>-5.89858523119392</v>
      </c>
      <c r="M43" s="62">
        <f>IF(J23=0,"",AVERAGE(M31:M42))</f>
        <v>-0.012630450969723908</v>
      </c>
      <c r="N43" s="77">
        <f>IF(N23=0,"",SUM(N31:N42)/N44)</f>
        <v>1001.9557971014492</v>
      </c>
      <c r="O43" s="80">
        <f>IF(OR(O23=0,O23=""),"",SUM(O31:O42)/O44)</f>
        <v>1003.9879572118703</v>
      </c>
      <c r="P43" s="72">
        <f>IF(N23=0,"",AVERAGE(P31:P42))</f>
        <v>2.032160110421008</v>
      </c>
      <c r="Q43" s="62">
        <f>IF(N23=0,"",AVERAGE(Q31:Q42))</f>
        <v>0.0032118892501961822</v>
      </c>
      <c r="R43" s="99">
        <f>SUM(R31:R42)</f>
        <v>256</v>
      </c>
      <c r="S43" s="99">
        <f>SUM(S31:S42)</f>
        <v>254</v>
      </c>
      <c r="T43" s="89">
        <f>SUM(T31:T42)</f>
        <v>63</v>
      </c>
      <c r="U43" s="88">
        <f>SUM(U31:U42)</f>
        <v>64</v>
      </c>
    </row>
    <row r="44" spans="1:17" s="30" customFormat="1" ht="11.25" customHeight="1">
      <c r="A44" s="86" t="s">
        <v>28</v>
      </c>
      <c r="B44" s="58">
        <f>COUNTIF(B31:B42,"&gt;0")</f>
        <v>3</v>
      </c>
      <c r="C44" s="58">
        <f>COUNTIF(C31:C42,"&gt;0")</f>
        <v>3</v>
      </c>
      <c r="D44" s="59"/>
      <c r="E44" s="60"/>
      <c r="F44" s="58">
        <f>COUNTIF(F31:F42,"&gt;0")</f>
        <v>3</v>
      </c>
      <c r="G44" s="58">
        <f>COUNTIF(G31:G42,"&gt;0")</f>
        <v>3</v>
      </c>
      <c r="H44" s="59"/>
      <c r="I44" s="60"/>
      <c r="J44" s="58">
        <f>COUNTIF(J31:J42,"&gt;0")</f>
        <v>3</v>
      </c>
      <c r="K44" s="58">
        <f>COUNTIF(K31:K42,"&gt;0")</f>
        <v>3</v>
      </c>
      <c r="L44" s="59"/>
      <c r="M44" s="60"/>
      <c r="N44" s="58">
        <f>COUNTIF(N31:N42,"&gt;0")</f>
        <v>3</v>
      </c>
      <c r="O44" s="58">
        <f>COUNTIF(O31:O42,"&gt;0")</f>
        <v>3</v>
      </c>
      <c r="P44" s="59"/>
      <c r="Q44" s="60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F8:I8"/>
    <mergeCell ref="J8:M8"/>
    <mergeCell ref="B26:E27"/>
    <mergeCell ref="N8:Q8"/>
    <mergeCell ref="N28:Q28"/>
    <mergeCell ref="P9:Q9"/>
    <mergeCell ref="B2:E2"/>
    <mergeCell ref="D3:E3"/>
    <mergeCell ref="B3:C3"/>
    <mergeCell ref="B6:E7"/>
    <mergeCell ref="B28:E28"/>
    <mergeCell ref="F28:I28"/>
    <mergeCell ref="L9:M9"/>
    <mergeCell ref="J28:M28"/>
    <mergeCell ref="R30:S30"/>
    <mergeCell ref="B8:E8"/>
    <mergeCell ref="D29:E29"/>
    <mergeCell ref="H29:I29"/>
    <mergeCell ref="L29:M29"/>
    <mergeCell ref="P29:Q29"/>
    <mergeCell ref="D9:E9"/>
    <mergeCell ref="H9:I9"/>
  </mergeCells>
  <conditionalFormatting sqref="F21 B18:B21 F13:F16 N18:N21 J13:J16 J18:J21 N13:N16 F18:F19 B14:B16">
    <cfRule type="expression" priority="1" dxfId="0" stopIfTrue="1">
      <formula>C13=""</formula>
    </cfRule>
  </conditionalFormatting>
  <conditionalFormatting sqref="B17 F20 N22 F17 F12 F22 J17 J12 J22 N17 N12">
    <cfRule type="expression" priority="2" dxfId="0" stopIfTrue="1">
      <formula>C12=""</formula>
    </cfRule>
  </conditionalFormatting>
  <conditionalFormatting sqref="R31:S43">
    <cfRule type="expression" priority="3" dxfId="3" stopIfTrue="1">
      <formula>R31&lt;$R31</formula>
    </cfRule>
    <cfRule type="expression" priority="4" dxfId="2" stopIfTrue="1">
      <formula>R31&gt;$R31</formula>
    </cfRule>
  </conditionalFormatting>
  <conditionalFormatting sqref="B22 B12:B13">
    <cfRule type="expression" priority="5" dxfId="0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2:U60"/>
  <sheetViews>
    <sheetView showGridLines="0" zoomScalePageLayoutView="0" workbookViewId="0" topLeftCell="A1">
      <selection activeCell="G1" sqref="G1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91.5" customHeight="1"/>
    <row r="2" spans="1:17" ht="16.5" customHeight="1">
      <c r="A2" s="97" t="s">
        <v>27</v>
      </c>
      <c r="B2" s="127" t="s">
        <v>54</v>
      </c>
      <c r="C2" s="127"/>
      <c r="D2" s="127"/>
      <c r="E2" s="127"/>
      <c r="Q2" s="92"/>
    </row>
    <row r="3" spans="1:17" ht="13.5" customHeight="1">
      <c r="A3" s="1"/>
      <c r="B3" s="128" t="s">
        <v>20</v>
      </c>
      <c r="C3" s="128"/>
      <c r="D3" s="129" t="s">
        <v>19</v>
      </c>
      <c r="E3" s="129"/>
      <c r="Q3" s="9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2"/>
    </row>
    <row r="5" ht="4.5" customHeight="1"/>
    <row r="6" spans="1:6" ht="11.25" customHeight="1">
      <c r="A6" s="7"/>
      <c r="B6" s="132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13" t="s">
        <v>0</v>
      </c>
      <c r="C8" s="114"/>
      <c r="D8" s="114"/>
      <c r="E8" s="115"/>
      <c r="F8" s="119" t="s">
        <v>1</v>
      </c>
      <c r="G8" s="120"/>
      <c r="H8" s="120"/>
      <c r="I8" s="121"/>
      <c r="J8" s="122" t="s">
        <v>2</v>
      </c>
      <c r="K8" s="123"/>
      <c r="L8" s="123"/>
      <c r="M8" s="123"/>
      <c r="N8" s="124" t="s">
        <v>3</v>
      </c>
      <c r="O8" s="125"/>
      <c r="P8" s="125"/>
      <c r="Q8" s="126"/>
    </row>
    <row r="9" spans="1:17" s="9" customFormat="1" ht="11.25" customHeight="1">
      <c r="A9" s="10"/>
      <c r="B9" s="50">
        <f>'BON-NS'!B9</f>
        <v>2011</v>
      </c>
      <c r="C9" s="51">
        <f>'BON-NS'!C9</f>
        <v>2012</v>
      </c>
      <c r="D9" s="116" t="s">
        <v>5</v>
      </c>
      <c r="E9" s="118"/>
      <c r="F9" s="50">
        <f>$B$9</f>
        <v>2011</v>
      </c>
      <c r="G9" s="51">
        <f>$C$9</f>
        <v>2012</v>
      </c>
      <c r="H9" s="116" t="s">
        <v>5</v>
      </c>
      <c r="I9" s="118"/>
      <c r="J9" s="50">
        <f>$B$9</f>
        <v>2011</v>
      </c>
      <c r="K9" s="51">
        <f>$C$9</f>
        <v>2012</v>
      </c>
      <c r="L9" s="116" t="s">
        <v>5</v>
      </c>
      <c r="M9" s="117"/>
      <c r="N9" s="50">
        <f>$B$9</f>
        <v>2011</v>
      </c>
      <c r="O9" s="51">
        <f>$C$9</f>
        <v>2012</v>
      </c>
      <c r="P9" s="116" t="s">
        <v>5</v>
      </c>
      <c r="Q9" s="118"/>
    </row>
    <row r="10" spans="1:17" s="9" customFormat="1" ht="11.25" customHeight="1">
      <c r="A10" s="84" t="s">
        <v>24</v>
      </c>
      <c r="B10" s="11">
        <f>$R$43</f>
        <v>254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f>SUM('BON-NS'!B11,'BSL-NS'!B11,'BWA-NS'!B11,'RFA-NS'!B11)</f>
        <v>37536</v>
      </c>
      <c r="C11" s="47">
        <f>IF('BON-NS'!C11="","",SUM('BON-NS'!C11,'BSL-NS'!C11,'BWA-NS'!C11,'RFA-NS'!C11))</f>
        <v>37034</v>
      </c>
      <c r="D11" s="21">
        <f aca="true" t="shared" si="0" ref="D11:D22">IF(C11="","",C11-B11)</f>
        <v>-502</v>
      </c>
      <c r="E11" s="68">
        <f aca="true" t="shared" si="1" ref="E11:E23">IF(D11="","",D11/B11)</f>
        <v>-0.01337382779198636</v>
      </c>
      <c r="F11" s="38">
        <f>SUM('BON-NS'!F11,'BSL-NS'!F11,'BWA-NS'!F11,'RFA-NS'!F11)</f>
        <v>38833</v>
      </c>
      <c r="G11" s="47">
        <f>IF('BON-NS'!G11="","",SUM('BON-NS'!G11,'BSL-NS'!G11,'BWA-NS'!G11,'RFA-NS'!G11))</f>
        <v>36573</v>
      </c>
      <c r="H11" s="21">
        <f aca="true" t="shared" si="2" ref="H11:H22">IF(G11="","",G11-F11)</f>
        <v>-2260</v>
      </c>
      <c r="I11" s="68">
        <f aca="true" t="shared" si="3" ref="I11:I23">IF(H11="","",H11/F11)</f>
        <v>-0.058197924445703396</v>
      </c>
      <c r="J11" s="38">
        <f>SUM('BON-NS'!J11,'BSL-NS'!J11,'BWA-NS'!J11,'RFA-NS'!J11)</f>
        <v>5850</v>
      </c>
      <c r="K11" s="47">
        <f>IF('BON-NS'!K11="","",SUM('BON-NS'!K11,'BSL-NS'!K11,'BWA-NS'!K11,'RFA-NS'!K11))</f>
        <v>6063</v>
      </c>
      <c r="L11" s="21">
        <f aca="true" t="shared" si="4" ref="L11:L22">IF(K11="","",K11-J11)</f>
        <v>213</v>
      </c>
      <c r="M11" s="68">
        <f aca="true" t="shared" si="5" ref="M11:M23">IF(L11="","",L11/J11)</f>
        <v>0.03641025641025641</v>
      </c>
      <c r="N11" s="38">
        <f>SUM(B11,F11,J11)</f>
        <v>82219</v>
      </c>
      <c r="O11" s="34">
        <f aca="true" t="shared" si="6" ref="O11:O22">IF(C11="","",SUM(C11,G11,K11))</f>
        <v>79670</v>
      </c>
      <c r="P11" s="21">
        <f aca="true" t="shared" si="7" ref="P11:P22">IF(O11="","",O11-N11)</f>
        <v>-2549</v>
      </c>
      <c r="Q11" s="68">
        <f aca="true" t="shared" si="8" ref="Q11:Q23">IF(P11="","",P11/N11)</f>
        <v>-0.03100256631678809</v>
      </c>
    </row>
    <row r="12" spans="1:17" ht="11.25" customHeight="1">
      <c r="A12" s="20" t="s">
        <v>7</v>
      </c>
      <c r="B12" s="38">
        <f>SUM('BON-NS'!B12,'BSL-NS'!B12,'BWA-NS'!B12,'RFA-NS'!B12)</f>
        <v>40610</v>
      </c>
      <c r="C12" s="47">
        <f>IF('BON-NS'!C12="","",SUM('BON-NS'!C12,'BSL-NS'!C12,'BWA-NS'!C12,'RFA-NS'!C12))</f>
        <v>38254</v>
      </c>
      <c r="D12" s="21">
        <f t="shared" si="0"/>
        <v>-2356</v>
      </c>
      <c r="E12" s="68">
        <f t="shared" si="1"/>
        <v>-0.05801526717557252</v>
      </c>
      <c r="F12" s="38">
        <f>SUM('BON-NS'!F12,'BSL-NS'!F12,'BWA-NS'!F12,'RFA-NS'!F12)</f>
        <v>40682</v>
      </c>
      <c r="G12" s="47">
        <f>IF('BON-NS'!G12="","",SUM('BON-NS'!G12,'BSL-NS'!G12,'BWA-NS'!G12,'RFA-NS'!G12))</f>
        <v>40196</v>
      </c>
      <c r="H12" s="21">
        <f t="shared" si="2"/>
        <v>-486</v>
      </c>
      <c r="I12" s="68">
        <f t="shared" si="3"/>
        <v>-0.011946315323730397</v>
      </c>
      <c r="J12" s="38">
        <f>SUM('BON-NS'!J12,'BSL-NS'!J12,'BWA-NS'!J12,'RFA-NS'!J12)</f>
        <v>6363</v>
      </c>
      <c r="K12" s="47">
        <f>IF('BON-NS'!K12="","",SUM('BON-NS'!K12,'BSL-NS'!K12,'BWA-NS'!K12,'RFA-NS'!K12))</f>
        <v>5834</v>
      </c>
      <c r="L12" s="21">
        <f t="shared" si="4"/>
        <v>-529</v>
      </c>
      <c r="M12" s="68">
        <f t="shared" si="5"/>
        <v>-0.08313688511708314</v>
      </c>
      <c r="N12" s="38">
        <f aca="true" t="shared" si="9" ref="N12:N22">SUM(B12,F12,J12)</f>
        <v>87655</v>
      </c>
      <c r="O12" s="34">
        <f t="shared" si="6"/>
        <v>84284</v>
      </c>
      <c r="P12" s="21">
        <f t="shared" si="7"/>
        <v>-3371</v>
      </c>
      <c r="Q12" s="68">
        <f t="shared" si="8"/>
        <v>-0.038457589413039756</v>
      </c>
    </row>
    <row r="13" spans="1:17" ht="11.25" customHeight="1">
      <c r="A13" s="20" t="s">
        <v>8</v>
      </c>
      <c r="B13" s="40">
        <f>SUM('BON-NS'!B13,'BSL-NS'!B13,'BWA-NS'!B13,'RFA-NS'!B13)</f>
        <v>49058</v>
      </c>
      <c r="C13" s="48">
        <f>IF('BON-NS'!C13="","",SUM('BON-NS'!C13,'BSL-NS'!C13,'BWA-NS'!C13,'RFA-NS'!C13))</f>
        <v>44516</v>
      </c>
      <c r="D13" s="22">
        <f t="shared" si="0"/>
        <v>-4542</v>
      </c>
      <c r="E13" s="69">
        <f t="shared" si="1"/>
        <v>-0.09258428798564963</v>
      </c>
      <c r="F13" s="40">
        <f>SUM('BON-NS'!F13,'BSL-NS'!F13,'BWA-NS'!F13,'RFA-NS'!F13)</f>
        <v>45035</v>
      </c>
      <c r="G13" s="48">
        <f>IF('BON-NS'!G13="","",SUM('BON-NS'!G13,'BSL-NS'!G13,'BWA-NS'!G13,'RFA-NS'!G13))</f>
        <v>43441</v>
      </c>
      <c r="H13" s="22">
        <f t="shared" si="2"/>
        <v>-1594</v>
      </c>
      <c r="I13" s="69">
        <f t="shared" si="3"/>
        <v>-0.03539469301654269</v>
      </c>
      <c r="J13" s="40">
        <f>SUM('BON-NS'!J13,'BSL-NS'!J13,'BWA-NS'!J13,'RFA-NS'!J13)</f>
        <v>7179</v>
      </c>
      <c r="K13" s="48">
        <f>IF('BON-NS'!K13="","",SUM('BON-NS'!K13,'BSL-NS'!K13,'BWA-NS'!K13,'RFA-NS'!K13))</f>
        <v>7192</v>
      </c>
      <c r="L13" s="22">
        <f t="shared" si="4"/>
        <v>13</v>
      </c>
      <c r="M13" s="69">
        <f t="shared" si="5"/>
        <v>0.001810837163950411</v>
      </c>
      <c r="N13" s="40">
        <f t="shared" si="9"/>
        <v>101272</v>
      </c>
      <c r="O13" s="35">
        <f t="shared" si="6"/>
        <v>95149</v>
      </c>
      <c r="P13" s="22">
        <f t="shared" si="7"/>
        <v>-6123</v>
      </c>
      <c r="Q13" s="69">
        <f t="shared" si="8"/>
        <v>-0.06046093688285015</v>
      </c>
    </row>
    <row r="14" spans="1:17" ht="11.25" customHeight="1">
      <c r="A14" s="20" t="s">
        <v>9</v>
      </c>
      <c r="B14" s="38">
        <f>SUM('BON-NS'!B14,'BSL-NS'!B14,'BWA-NS'!B14,'RFA-NS'!B14)</f>
        <v>41402</v>
      </c>
      <c r="C14" s="47">
        <f>IF('BON-NS'!C14="","",SUM('BON-NS'!C14,'BSL-NS'!C14,'BWA-NS'!C14,'RFA-NS'!C14))</f>
      </c>
      <c r="D14" s="21">
        <f t="shared" si="0"/>
      </c>
      <c r="E14" s="68">
        <f t="shared" si="1"/>
      </c>
      <c r="F14" s="38">
        <f>SUM('BON-NS'!F14,'BSL-NS'!F14,'BWA-NS'!F14,'RFA-NS'!F14)</f>
        <v>39186</v>
      </c>
      <c r="G14" s="47">
        <f>IF('BON-NS'!G14="","",SUM('BON-NS'!G14,'BSL-NS'!G14,'BWA-NS'!G14,'RFA-NS'!G14))</f>
      </c>
      <c r="H14" s="21">
        <f t="shared" si="2"/>
      </c>
      <c r="I14" s="68">
        <f t="shared" si="3"/>
      </c>
      <c r="J14" s="38">
        <f>SUM('BON-NS'!J14,'BSL-NS'!J14,'BWA-NS'!J14,'RFA-NS'!J14)</f>
        <v>6674</v>
      </c>
      <c r="K14" s="47">
        <f>IF('BON-NS'!K14="","",SUM('BON-NS'!K14,'BSL-NS'!K14,'BWA-NS'!K14,'RFA-NS'!K14))</f>
      </c>
      <c r="L14" s="21">
        <f t="shared" si="4"/>
      </c>
      <c r="M14" s="68">
        <f t="shared" si="5"/>
      </c>
      <c r="N14" s="38">
        <f t="shared" si="9"/>
        <v>87262</v>
      </c>
      <c r="O14" s="34">
        <f t="shared" si="6"/>
      </c>
      <c r="P14" s="21">
        <f t="shared" si="7"/>
      </c>
      <c r="Q14" s="68">
        <f t="shared" si="8"/>
      </c>
    </row>
    <row r="15" spans="1:17" ht="11.25" customHeight="1">
      <c r="A15" s="20" t="s">
        <v>10</v>
      </c>
      <c r="B15" s="38">
        <f>SUM('BON-NS'!B15,'BSL-NS'!B15,'BWA-NS'!B15,'RFA-NS'!B15)</f>
        <v>47017</v>
      </c>
      <c r="C15" s="47">
        <f>IF('BON-NS'!C15="","",SUM('BON-NS'!C15,'BSL-NS'!C15,'BWA-NS'!C15,'RFA-NS'!C15))</f>
      </c>
      <c r="D15" s="21">
        <f t="shared" si="0"/>
      </c>
      <c r="E15" s="68">
        <f t="shared" si="1"/>
      </c>
      <c r="F15" s="38">
        <f>SUM('BON-NS'!F15,'BSL-NS'!F15,'BWA-NS'!F15,'RFA-NS'!F15)</f>
        <v>43319</v>
      </c>
      <c r="G15" s="47">
        <f>IF('BON-NS'!G15="","",SUM('BON-NS'!G15,'BSL-NS'!G15,'BWA-NS'!G15,'RFA-NS'!G15))</f>
      </c>
      <c r="H15" s="21">
        <f t="shared" si="2"/>
      </c>
      <c r="I15" s="68">
        <f t="shared" si="3"/>
      </c>
      <c r="J15" s="38">
        <f>SUM('BON-NS'!J15,'BSL-NS'!J15,'BWA-NS'!J15,'RFA-NS'!J15)</f>
        <v>5987</v>
      </c>
      <c r="K15" s="47">
        <f>IF('BON-NS'!K15="","",SUM('BON-NS'!K15,'BSL-NS'!K15,'BWA-NS'!K15,'RFA-NS'!K15))</f>
      </c>
      <c r="L15" s="21">
        <f t="shared" si="4"/>
      </c>
      <c r="M15" s="68">
        <f t="shared" si="5"/>
      </c>
      <c r="N15" s="38">
        <f t="shared" si="9"/>
        <v>96323</v>
      </c>
      <c r="O15" s="34">
        <f t="shared" si="6"/>
      </c>
      <c r="P15" s="21">
        <f t="shared" si="7"/>
      </c>
      <c r="Q15" s="68">
        <f t="shared" si="8"/>
      </c>
    </row>
    <row r="16" spans="1:17" ht="11.25" customHeight="1">
      <c r="A16" s="20" t="s">
        <v>11</v>
      </c>
      <c r="B16" s="40">
        <f>SUM('BON-NS'!B16,'BSL-NS'!B16,'BWA-NS'!B16,'RFA-NS'!B16)</f>
        <v>40010</v>
      </c>
      <c r="C16" s="48">
        <f>IF('BON-NS'!C16="","",SUM('BON-NS'!C16,'BSL-NS'!C16,'BWA-NS'!C16,'RFA-NS'!C16))</f>
      </c>
      <c r="D16" s="22">
        <f t="shared" si="0"/>
      </c>
      <c r="E16" s="69">
        <f t="shared" si="1"/>
      </c>
      <c r="F16" s="40">
        <f>SUM('BON-NS'!F16,'BSL-NS'!F16,'BWA-NS'!F16,'RFA-NS'!F16)</f>
        <v>39115</v>
      </c>
      <c r="G16" s="48">
        <f>IF('BON-NS'!G16="","",SUM('BON-NS'!G16,'BSL-NS'!G16,'BWA-NS'!G16,'RFA-NS'!G16))</f>
      </c>
      <c r="H16" s="22">
        <f t="shared" si="2"/>
      </c>
      <c r="I16" s="69">
        <f t="shared" si="3"/>
      </c>
      <c r="J16" s="40">
        <f>SUM('BON-NS'!J16,'BSL-NS'!J16,'BWA-NS'!J16,'RFA-NS'!J16)</f>
        <v>6684</v>
      </c>
      <c r="K16" s="48">
        <f>IF('BON-NS'!K16="","",SUM('BON-NS'!K16,'BSL-NS'!K16,'BWA-NS'!K16,'RFA-NS'!K16))</f>
      </c>
      <c r="L16" s="22">
        <f t="shared" si="4"/>
      </c>
      <c r="M16" s="69">
        <f t="shared" si="5"/>
      </c>
      <c r="N16" s="40">
        <f t="shared" si="9"/>
        <v>85809</v>
      </c>
      <c r="O16" s="35">
        <f t="shared" si="6"/>
      </c>
      <c r="P16" s="22">
        <f t="shared" si="7"/>
      </c>
      <c r="Q16" s="69">
        <f t="shared" si="8"/>
      </c>
    </row>
    <row r="17" spans="1:17" ht="11.25" customHeight="1">
      <c r="A17" s="20" t="s">
        <v>12</v>
      </c>
      <c r="B17" s="38">
        <f>SUM('BON-NS'!B17,'BSL-NS'!B17,'BWA-NS'!B17,'RFA-NS'!B17)</f>
        <v>41360</v>
      </c>
      <c r="C17" s="47">
        <f>IF('BON-NS'!C17="","",SUM('BON-NS'!C17,'BSL-NS'!C17,'BWA-NS'!C17,'RFA-NS'!C17))</f>
      </c>
      <c r="D17" s="21">
        <f t="shared" si="0"/>
      </c>
      <c r="E17" s="68">
        <f t="shared" si="1"/>
      </c>
      <c r="F17" s="38">
        <f>SUM('BON-NS'!F17,'BSL-NS'!F17,'BWA-NS'!F17,'RFA-NS'!F17)</f>
        <v>38360</v>
      </c>
      <c r="G17" s="47">
        <f>IF('BON-NS'!G17="","",SUM('BON-NS'!G17,'BSL-NS'!G17,'BWA-NS'!G17,'RFA-NS'!G17))</f>
      </c>
      <c r="H17" s="21">
        <f t="shared" si="2"/>
      </c>
      <c r="I17" s="68">
        <f t="shared" si="3"/>
      </c>
      <c r="J17" s="38">
        <f>SUM('BON-NS'!J17,'BSL-NS'!J17,'BWA-NS'!J17,'RFA-NS'!J17)</f>
        <v>7902</v>
      </c>
      <c r="K17" s="47">
        <f>IF('BON-NS'!K17="","",SUM('BON-NS'!K17,'BSL-NS'!K17,'BWA-NS'!K17,'RFA-NS'!K17))</f>
      </c>
      <c r="L17" s="21">
        <f t="shared" si="4"/>
      </c>
      <c r="M17" s="68">
        <f t="shared" si="5"/>
      </c>
      <c r="N17" s="38">
        <f t="shared" si="9"/>
        <v>87622</v>
      </c>
      <c r="O17" s="34">
        <f t="shared" si="6"/>
      </c>
      <c r="P17" s="21">
        <f t="shared" si="7"/>
      </c>
      <c r="Q17" s="68">
        <f t="shared" si="8"/>
      </c>
    </row>
    <row r="18" spans="1:17" ht="11.25" customHeight="1">
      <c r="A18" s="20" t="s">
        <v>13</v>
      </c>
      <c r="B18" s="38">
        <f>SUM('BON-NS'!B18,'BSL-NS'!B18,'BWA-NS'!B18,'RFA-NS'!B18)</f>
        <v>41161</v>
      </c>
      <c r="C18" s="47">
        <f>IF('BON-NS'!C18="","",SUM('BON-NS'!C18,'BSL-NS'!C18,'BWA-NS'!C18,'RFA-NS'!C18))</f>
      </c>
      <c r="D18" s="21">
        <f t="shared" si="0"/>
      </c>
      <c r="E18" s="68">
        <f t="shared" si="1"/>
      </c>
      <c r="F18" s="38">
        <f>SUM('BON-NS'!F18,'BSL-NS'!F18,'BWA-NS'!F18,'RFA-NS'!F18)</f>
        <v>31334</v>
      </c>
      <c r="G18" s="47">
        <f>IF('BON-NS'!G18="","",SUM('BON-NS'!G18,'BSL-NS'!G18,'BWA-NS'!G18,'RFA-NS'!G18))</f>
      </c>
      <c r="H18" s="21">
        <f t="shared" si="2"/>
      </c>
      <c r="I18" s="68">
        <f t="shared" si="3"/>
      </c>
      <c r="J18" s="38">
        <f>SUM('BON-NS'!J18,'BSL-NS'!J18,'BWA-NS'!J18,'RFA-NS'!J18)</f>
        <v>7467</v>
      </c>
      <c r="K18" s="47">
        <f>IF('BON-NS'!K18="","",SUM('BON-NS'!K18,'BSL-NS'!K18,'BWA-NS'!K18,'RFA-NS'!K18))</f>
      </c>
      <c r="L18" s="21">
        <f t="shared" si="4"/>
      </c>
      <c r="M18" s="68">
        <f t="shared" si="5"/>
      </c>
      <c r="N18" s="38">
        <f t="shared" si="9"/>
        <v>79962</v>
      </c>
      <c r="O18" s="34">
        <f t="shared" si="6"/>
      </c>
      <c r="P18" s="21">
        <f t="shared" si="7"/>
      </c>
      <c r="Q18" s="68">
        <f t="shared" si="8"/>
      </c>
    </row>
    <row r="19" spans="1:17" ht="11.25" customHeight="1">
      <c r="A19" s="20" t="s">
        <v>14</v>
      </c>
      <c r="B19" s="40">
        <f>SUM('BON-NS'!B19,'BSL-NS'!B19,'BWA-NS'!B19,'RFA-NS'!B19)</f>
        <v>44674</v>
      </c>
      <c r="C19" s="48">
        <f>IF('BON-NS'!C19="","",SUM('BON-NS'!C19,'BSL-NS'!C19,'BWA-NS'!C19,'RFA-NS'!C19))</f>
      </c>
      <c r="D19" s="22">
        <f t="shared" si="0"/>
      </c>
      <c r="E19" s="69">
        <f t="shared" si="1"/>
      </c>
      <c r="F19" s="40">
        <f>SUM('BON-NS'!F19,'BSL-NS'!F19,'BWA-NS'!F19,'RFA-NS'!F19)</f>
        <v>41115</v>
      </c>
      <c r="G19" s="48">
        <f>IF('BON-NS'!G19="","",SUM('BON-NS'!G19,'BSL-NS'!G19,'BWA-NS'!G19,'RFA-NS'!G19))</f>
      </c>
      <c r="H19" s="22">
        <f t="shared" si="2"/>
      </c>
      <c r="I19" s="69">
        <f t="shared" si="3"/>
      </c>
      <c r="J19" s="40">
        <f>SUM('BON-NS'!J19,'BSL-NS'!J19,'BWA-NS'!J19,'RFA-NS'!J19)</f>
        <v>6350</v>
      </c>
      <c r="K19" s="48">
        <f>IF('BON-NS'!K19="","",SUM('BON-NS'!K19,'BSL-NS'!K19,'BWA-NS'!K19,'RFA-NS'!K19))</f>
      </c>
      <c r="L19" s="22">
        <f t="shared" si="4"/>
      </c>
      <c r="M19" s="69">
        <f t="shared" si="5"/>
      </c>
      <c r="N19" s="40">
        <f t="shared" si="9"/>
        <v>92139</v>
      </c>
      <c r="O19" s="35">
        <f t="shared" si="6"/>
      </c>
      <c r="P19" s="22">
        <f t="shared" si="7"/>
      </c>
      <c r="Q19" s="69">
        <f t="shared" si="8"/>
      </c>
    </row>
    <row r="20" spans="1:17" ht="11.25" customHeight="1">
      <c r="A20" s="20" t="s">
        <v>15</v>
      </c>
      <c r="B20" s="38">
        <f>SUM('BON-NS'!B20,'BSL-NS'!B20,'BWA-NS'!B20,'RFA-NS'!B20)</f>
        <v>42338</v>
      </c>
      <c r="C20" s="47">
        <f>IF('BON-NS'!C20="","",SUM('BON-NS'!C20,'BSL-NS'!C20,'BWA-NS'!C20,'RFA-NS'!C20))</f>
      </c>
      <c r="D20" s="21">
        <f t="shared" si="0"/>
      </c>
      <c r="E20" s="68">
        <f t="shared" si="1"/>
      </c>
      <c r="F20" s="38">
        <f>SUM('BON-NS'!F20,'BSL-NS'!F20,'BWA-NS'!F20,'RFA-NS'!F20)</f>
        <v>39716</v>
      </c>
      <c r="G20" s="47">
        <f>IF('BON-NS'!G20="","",SUM('BON-NS'!G20,'BSL-NS'!G20,'BWA-NS'!G20,'RFA-NS'!G20))</f>
      </c>
      <c r="H20" s="21">
        <f t="shared" si="2"/>
      </c>
      <c r="I20" s="68">
        <f t="shared" si="3"/>
      </c>
      <c r="J20" s="38">
        <f>SUM('BON-NS'!J20,'BSL-NS'!J20,'BWA-NS'!J20,'RFA-NS'!J20)</f>
        <v>6495</v>
      </c>
      <c r="K20" s="47">
        <f>IF('BON-NS'!K20="","",SUM('BON-NS'!K20,'BSL-NS'!K20,'BWA-NS'!K20,'RFA-NS'!K20))</f>
      </c>
      <c r="L20" s="21">
        <f t="shared" si="4"/>
      </c>
      <c r="M20" s="68">
        <f t="shared" si="5"/>
      </c>
      <c r="N20" s="38">
        <f t="shared" si="9"/>
        <v>88549</v>
      </c>
      <c r="O20" s="34">
        <f t="shared" si="6"/>
      </c>
      <c r="P20" s="21">
        <f t="shared" si="7"/>
      </c>
      <c r="Q20" s="68">
        <f t="shared" si="8"/>
      </c>
    </row>
    <row r="21" spans="1:17" ht="11.25" customHeight="1">
      <c r="A21" s="20" t="s">
        <v>16</v>
      </c>
      <c r="B21" s="38">
        <f>SUM('BON-NS'!B21,'BSL-NS'!B21,'BWA-NS'!B21,'RFA-NS'!B21)</f>
        <v>43552</v>
      </c>
      <c r="C21" s="47">
        <f>IF('BON-NS'!C21="","",SUM('BON-NS'!C21,'BSL-NS'!C21,'BWA-NS'!C21,'RFA-NS'!C21))</f>
      </c>
      <c r="D21" s="21">
        <f t="shared" si="0"/>
      </c>
      <c r="E21" s="68">
        <f t="shared" si="1"/>
      </c>
      <c r="F21" s="38">
        <f>SUM('BON-NS'!F21,'BSL-NS'!F21,'BWA-NS'!F21,'RFA-NS'!F21)</f>
        <v>40408</v>
      </c>
      <c r="G21" s="47">
        <f>IF('BON-NS'!G21="","",SUM('BON-NS'!G21,'BSL-NS'!G21,'BWA-NS'!G21,'RFA-NS'!G21))</f>
      </c>
      <c r="H21" s="21">
        <f t="shared" si="2"/>
      </c>
      <c r="I21" s="68">
        <f t="shared" si="3"/>
      </c>
      <c r="J21" s="38">
        <f>SUM('BON-NS'!J21,'BSL-NS'!J21,'BWA-NS'!J21,'RFA-NS'!J21)</f>
        <v>6204</v>
      </c>
      <c r="K21" s="47">
        <f>IF('BON-NS'!K21="","",SUM('BON-NS'!K21,'BSL-NS'!K21,'BWA-NS'!K21,'RFA-NS'!K21))</f>
      </c>
      <c r="L21" s="21">
        <f t="shared" si="4"/>
      </c>
      <c r="M21" s="68">
        <f t="shared" si="5"/>
      </c>
      <c r="N21" s="38">
        <f t="shared" si="9"/>
        <v>90164</v>
      </c>
      <c r="O21" s="34">
        <f t="shared" si="6"/>
      </c>
      <c r="P21" s="21">
        <f t="shared" si="7"/>
      </c>
      <c r="Q21" s="68">
        <f t="shared" si="8"/>
      </c>
    </row>
    <row r="22" spans="1:17" ht="11.25" customHeight="1" thickBot="1">
      <c r="A22" s="23" t="s">
        <v>17</v>
      </c>
      <c r="B22" s="39">
        <f>SUM('BON-NS'!B22,'BSL-NS'!B22,'BWA-NS'!B22,'RFA-NS'!B22)</f>
        <v>35249</v>
      </c>
      <c r="C22" s="49">
        <f>IF('BON-NS'!C22="","",SUM('BON-NS'!C22,'BSL-NS'!C22,'BWA-NS'!C22,'RFA-NS'!C22))</f>
      </c>
      <c r="D22" s="21">
        <f t="shared" si="0"/>
      </c>
      <c r="E22" s="54">
        <f t="shared" si="1"/>
      </c>
      <c r="F22" s="39">
        <f>SUM('BON-NS'!F22,'BSL-NS'!F22,'BWA-NS'!F22,'RFA-NS'!F22)</f>
        <v>33953</v>
      </c>
      <c r="G22" s="49">
        <f>IF('BON-NS'!G22="","",SUM('BON-NS'!G22,'BSL-NS'!G22,'BWA-NS'!G22,'RFA-NS'!G22))</f>
      </c>
      <c r="H22" s="21">
        <f t="shared" si="2"/>
      </c>
      <c r="I22" s="54">
        <f t="shared" si="3"/>
      </c>
      <c r="J22" s="39">
        <f>SUM('BON-NS'!J22,'BSL-NS'!J22,'BWA-NS'!J22,'RFA-NS'!J22)</f>
        <v>6244</v>
      </c>
      <c r="K22" s="49">
        <f>IF('BON-NS'!K22="","",SUM('BON-NS'!K22,'BSL-NS'!K22,'BWA-NS'!K22,'RFA-NS'!K22))</f>
      </c>
      <c r="L22" s="21">
        <f t="shared" si="4"/>
      </c>
      <c r="M22" s="54">
        <f t="shared" si="5"/>
      </c>
      <c r="N22" s="39">
        <f t="shared" si="9"/>
        <v>75446</v>
      </c>
      <c r="O22" s="36">
        <f t="shared" si="6"/>
      </c>
      <c r="P22" s="21">
        <f t="shared" si="7"/>
      </c>
      <c r="Q22" s="54">
        <f t="shared" si="8"/>
      </c>
    </row>
    <row r="23" spans="1:17" ht="11.25" customHeight="1" thickBot="1">
      <c r="A23" s="44" t="s">
        <v>3</v>
      </c>
      <c r="B23" s="41">
        <f>IF(C24&lt;7,B24,B25)</f>
        <v>127204</v>
      </c>
      <c r="C23" s="42">
        <f>IF(C11="","",SUM(C11:C22))</f>
        <v>119804</v>
      </c>
      <c r="D23" s="43">
        <f>IF(D11="","",SUM(D11:D22))</f>
        <v>-7400</v>
      </c>
      <c r="E23" s="61">
        <f t="shared" si="1"/>
        <v>-0.058174271249331784</v>
      </c>
      <c r="F23" s="41">
        <f>IF(G24&lt;7,F24,F25)</f>
        <v>124550</v>
      </c>
      <c r="G23" s="42">
        <f>IF(G11="","",SUM(G11:G22))</f>
        <v>120210</v>
      </c>
      <c r="H23" s="43">
        <f>IF(H11="","",SUM(H11:H22))</f>
        <v>-4340</v>
      </c>
      <c r="I23" s="61">
        <f t="shared" si="3"/>
        <v>-0.034845443596949015</v>
      </c>
      <c r="J23" s="41">
        <f>IF(K24&lt;7,J24,J25)</f>
        <v>19392</v>
      </c>
      <c r="K23" s="42">
        <f>IF(K11="","",SUM(K11:K22))</f>
        <v>19089</v>
      </c>
      <c r="L23" s="43">
        <f>IF(L11="","",SUM(L11:L22))</f>
        <v>-303</v>
      </c>
      <c r="M23" s="61">
        <f t="shared" si="5"/>
        <v>-0.015625</v>
      </c>
      <c r="N23" s="41">
        <f>IF(O24&lt;7,N24,N25)</f>
        <v>271146</v>
      </c>
      <c r="O23" s="42">
        <f>IF(O11="","",SUM(O11:O22))</f>
        <v>259103</v>
      </c>
      <c r="P23" s="43">
        <f>IF(P11="","",SUM(P11:P22))</f>
        <v>-12043</v>
      </c>
      <c r="Q23" s="61">
        <f t="shared" si="8"/>
        <v>-0.04441518591459952</v>
      </c>
    </row>
    <row r="24" spans="1:17" ht="11.25" customHeight="1">
      <c r="A24" s="85" t="s">
        <v>28</v>
      </c>
      <c r="B24" s="90">
        <f>IF(C24=1,B11,IF(C24=2,SUM(B11:B12),IF(C24=3,SUM(B11:B13),IF(C24=4,SUM(B11:B14),IF(C24=5,SUM(B11:B15),IF(C24=6,SUM(B11:B16),""))))))</f>
        <v>127204</v>
      </c>
      <c r="C24" s="56">
        <f>COUNTIF(C11:C22,"&gt;0")</f>
        <v>3</v>
      </c>
      <c r="D24" s="56"/>
      <c r="E24" s="57"/>
      <c r="F24" s="90">
        <f>IF(G24=1,F11,IF(G24=2,SUM(F11:F12),IF(G24=3,SUM(F11:F13),IF(G24=4,SUM(F11:F14),IF(G24=5,SUM(F11:F15),IF(G24=6,SUM(F11:F16),""))))))</f>
        <v>124550</v>
      </c>
      <c r="G24" s="56">
        <f>COUNTIF(G11:G22,"&gt;0")</f>
        <v>3</v>
      </c>
      <c r="H24" s="56"/>
      <c r="I24" s="57"/>
      <c r="J24" s="90">
        <f>IF(K24=1,J11,IF(K24=2,SUM(J11:J12),IF(K24=3,SUM(J11:J13),IF(K24=4,SUM(J11:J14),IF(K24=5,SUM(J11:J15),IF(K24=6,SUM(J11:J16),""))))))</f>
        <v>19392</v>
      </c>
      <c r="K24" s="56">
        <f>COUNTIF(K11:K22,"&gt;0")</f>
        <v>3</v>
      </c>
      <c r="L24" s="56"/>
      <c r="M24" s="57"/>
      <c r="N24" s="90">
        <f>IF(O24=1,N11,IF(O24=2,SUM(N11:N12),IF(O24=3,SUM(N11:N13),IF(O24=4,SUM(N11:N14),IF(O24=5,SUM(N11:N15),IF(O24=6,SUM(N11:N16),""))))))</f>
        <v>271146</v>
      </c>
      <c r="O24" s="56">
        <f>COUNTIF(O11:O22,"&gt;0")</f>
        <v>3</v>
      </c>
      <c r="P24" s="24"/>
      <c r="Q24" s="25"/>
    </row>
    <row r="25" spans="2:14" ht="11.25" customHeight="1">
      <c r="B25" s="88">
        <f>IF(C24=7,SUM(B11:B17),IF(C24=8,SUM(B11:B18),IF(C24=9,SUM(B11:B19),IF(C24=10,SUM(B11:B20),IF(C24=11,SUM(B11:B21),SUM(B11:B22))))))</f>
        <v>503967</v>
      </c>
      <c r="F25" s="88">
        <f>IF(G24=7,SUM(F11:F17),IF(G24=8,SUM(F11:F18),IF(G24=9,SUM(F11:F19),IF(G24=10,SUM(F11:F20),IF(G24=11,SUM(F11:F21),SUM(F11:F22))))))</f>
        <v>471056</v>
      </c>
      <c r="J25" s="88">
        <f>IF(K24=7,SUM(J11:J17),IF(K24=8,SUM(J11:J18),IF(K24=9,SUM(J11:J19),IF(K24=10,SUM(J11:J20),IF(K24=11,SUM(J11:J21),SUM(J11:J22))))))</f>
        <v>79399</v>
      </c>
      <c r="N25" s="88">
        <f>IF(O24=7,SUM(N11:N17),IF(O24=8,SUM(N11:N18),IF(O24=9,SUM(N11:N19),IF(O24=10,SUM(N11:N20),IF(O24=11,SUM(N11:N21),SUM(N11:N22))))))</f>
        <v>1054422</v>
      </c>
    </row>
    <row r="26" spans="1:6" ht="11.25" customHeight="1">
      <c r="A26" s="7"/>
      <c r="B26" s="132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13" t="s">
        <v>0</v>
      </c>
      <c r="C28" s="130"/>
      <c r="D28" s="130"/>
      <c r="E28" s="131"/>
      <c r="F28" s="119" t="s">
        <v>1</v>
      </c>
      <c r="G28" s="120"/>
      <c r="H28" s="120"/>
      <c r="I28" s="121"/>
      <c r="J28" s="122" t="s">
        <v>2</v>
      </c>
      <c r="K28" s="123"/>
      <c r="L28" s="123"/>
      <c r="M28" s="123"/>
      <c r="N28" s="124" t="s">
        <v>3</v>
      </c>
      <c r="O28" s="125"/>
      <c r="P28" s="125"/>
      <c r="Q28" s="126"/>
    </row>
    <row r="29" spans="1:19" ht="11.25" customHeight="1" thickBot="1">
      <c r="A29" s="10"/>
      <c r="B29" s="50">
        <f>$B$9</f>
        <v>2011</v>
      </c>
      <c r="C29" s="51">
        <f>$C$9</f>
        <v>2012</v>
      </c>
      <c r="D29" s="116" t="s">
        <v>5</v>
      </c>
      <c r="E29" s="117"/>
      <c r="F29" s="50">
        <f>$B$9</f>
        <v>2011</v>
      </c>
      <c r="G29" s="51">
        <f>$C$9</f>
        <v>2012</v>
      </c>
      <c r="H29" s="116" t="s">
        <v>5</v>
      </c>
      <c r="I29" s="117"/>
      <c r="J29" s="50">
        <f>$B$9</f>
        <v>2011</v>
      </c>
      <c r="K29" s="51">
        <f>$C$9</f>
        <v>2012</v>
      </c>
      <c r="L29" s="116" t="s">
        <v>5</v>
      </c>
      <c r="M29" s="117"/>
      <c r="N29" s="50">
        <f>$B$9</f>
        <v>2011</v>
      </c>
      <c r="O29" s="51">
        <f>$C$9</f>
        <v>2012</v>
      </c>
      <c r="P29" s="116" t="s">
        <v>5</v>
      </c>
      <c r="Q29" s="118"/>
      <c r="R29" s="83" t="str">
        <f>RIGHT(B9,2)</f>
        <v>11</v>
      </c>
      <c r="S29" s="82" t="str">
        <f>RIGHT(C9,2)</f>
        <v>12</v>
      </c>
    </row>
    <row r="30" spans="1:19" ht="11.25" customHeight="1" thickBot="1">
      <c r="A30" s="84" t="s">
        <v>24</v>
      </c>
      <c r="B30" s="11">
        <f>T43</f>
        <v>64</v>
      </c>
      <c r="C30" s="12">
        <f>U43</f>
        <v>63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9" t="s">
        <v>23</v>
      </c>
      <c r="S30" s="140"/>
    </row>
    <row r="31" spans="1:21" ht="11.25" customHeight="1">
      <c r="A31" s="20" t="s">
        <v>6</v>
      </c>
      <c r="B31" s="75">
        <f aca="true" t="shared" si="10" ref="B31:B42">IF(C11="","",B11/$R31)</f>
        <v>1787.4285714285713</v>
      </c>
      <c r="C31" s="78">
        <f aca="true" t="shared" si="11" ref="C31:C42">IF(C11="","",C11/$S31)</f>
        <v>1763.5238095238096</v>
      </c>
      <c r="D31" s="74">
        <f aca="true" t="shared" si="12" ref="D31:D42">IF(C31="","",C31-B31)</f>
        <v>-23.9047619047617</v>
      </c>
      <c r="E31" s="70">
        <f aca="true" t="shared" si="13" ref="E31:E43">IF(C31="","",(C31-B31)/ABS(B31))</f>
        <v>-0.013373827791986245</v>
      </c>
      <c r="F31" s="75">
        <f aca="true" t="shared" si="14" ref="F31:F42">IF(G11="","",F11/$R31)</f>
        <v>1849.1904761904761</v>
      </c>
      <c r="G31" s="78">
        <f aca="true" t="shared" si="15" ref="G31:G42">IF(G11="","",G11/$S31)</f>
        <v>1741.5714285714287</v>
      </c>
      <c r="H31" s="93">
        <f aca="true" t="shared" si="16" ref="H31:H42">IF(G31="","",G31-F31)</f>
        <v>-107.61904761904748</v>
      </c>
      <c r="I31" s="70">
        <f aca="true" t="shared" si="17" ref="I31:I43">IF(G31="","",(G31-F31)/ABS(F31))</f>
        <v>-0.05819792444570332</v>
      </c>
      <c r="J31" s="75">
        <f aca="true" t="shared" si="18" ref="J31:J42">IF(K11="","",J11/$R31)</f>
        <v>278.57142857142856</v>
      </c>
      <c r="K31" s="78">
        <f aca="true" t="shared" si="19" ref="K31:K42">IF(K11="","",K11/$S31)</f>
        <v>288.7142857142857</v>
      </c>
      <c r="L31" s="93">
        <f aca="true" t="shared" si="20" ref="L31:L42">IF(K31="","",K31-J31)</f>
        <v>10.142857142857167</v>
      </c>
      <c r="M31" s="70">
        <f aca="true" t="shared" si="21" ref="M31:M43">IF(K31="","",(K31-J31)/ABS(J31))</f>
        <v>0.0364102564102565</v>
      </c>
      <c r="N31" s="75">
        <f aca="true" t="shared" si="22" ref="N31:N42">IF(O11="","",N11/$R31)</f>
        <v>3915.190476190476</v>
      </c>
      <c r="O31" s="78">
        <f aca="true" t="shared" si="23" ref="O31:O42">IF(O11="","",O11/$S31)</f>
        <v>3793.809523809524</v>
      </c>
      <c r="P31" s="93">
        <f aca="true" t="shared" si="24" ref="P31:P42">IF(O31="","",O31-N31)</f>
        <v>-121.3809523809523</v>
      </c>
      <c r="Q31" s="68">
        <f aca="true" t="shared" si="25" ref="Q31:Q43">IF(O31="","",(O31-N31)/ABS(N31))</f>
        <v>-0.03100256631678807</v>
      </c>
      <c r="R31" s="64">
        <f>'BON-NS'!R31</f>
        <v>21</v>
      </c>
      <c r="S31" s="65">
        <v>21</v>
      </c>
      <c r="T31" s="89">
        <f>IF(OR(N31="",N31=0),"",R31)</f>
        <v>21</v>
      </c>
      <c r="U31" s="89">
        <f>IF(OR(O31="",O31=0),"",S31)</f>
        <v>21</v>
      </c>
    </row>
    <row r="32" spans="1:21" ht="11.25" customHeight="1">
      <c r="A32" s="20" t="s">
        <v>7</v>
      </c>
      <c r="B32" s="75">
        <f t="shared" si="10"/>
        <v>2030.5</v>
      </c>
      <c r="C32" s="78">
        <f t="shared" si="11"/>
        <v>1912.7</v>
      </c>
      <c r="D32" s="74">
        <f t="shared" si="12"/>
        <v>-117.79999999999995</v>
      </c>
      <c r="E32" s="70">
        <f t="shared" si="13"/>
        <v>-0.058015267175572496</v>
      </c>
      <c r="F32" s="75">
        <f t="shared" si="14"/>
        <v>2034.1</v>
      </c>
      <c r="G32" s="78">
        <f t="shared" si="15"/>
        <v>2009.8</v>
      </c>
      <c r="H32" s="93">
        <f t="shared" si="16"/>
        <v>-24.299999999999955</v>
      </c>
      <c r="I32" s="70">
        <f t="shared" si="17"/>
        <v>-0.011946315323730375</v>
      </c>
      <c r="J32" s="75">
        <f t="shared" si="18"/>
        <v>318.15</v>
      </c>
      <c r="K32" s="78">
        <f t="shared" si="19"/>
        <v>291.7</v>
      </c>
      <c r="L32" s="93">
        <f t="shared" si="20"/>
        <v>-26.44999999999999</v>
      </c>
      <c r="M32" s="70">
        <f t="shared" si="21"/>
        <v>-0.0831368851170831</v>
      </c>
      <c r="N32" s="75">
        <f t="shared" si="22"/>
        <v>4382.75</v>
      </c>
      <c r="O32" s="78">
        <f t="shared" si="23"/>
        <v>4214.2</v>
      </c>
      <c r="P32" s="93">
        <f t="shared" si="24"/>
        <v>-168.55000000000018</v>
      </c>
      <c r="Q32" s="68">
        <f t="shared" si="25"/>
        <v>-0.0384575894130398</v>
      </c>
      <c r="R32" s="64">
        <f>'BON-NS'!R32</f>
        <v>20</v>
      </c>
      <c r="S32" s="65">
        <v>20</v>
      </c>
      <c r="T32" s="89">
        <f aca="true" t="shared" si="26" ref="T32:U42">IF(OR(N32="",N32=0),"",R32)</f>
        <v>20</v>
      </c>
      <c r="U32" s="89">
        <f t="shared" si="26"/>
        <v>20</v>
      </c>
    </row>
    <row r="33" spans="1:21" ht="11.25" customHeight="1">
      <c r="A33" s="20" t="s">
        <v>8</v>
      </c>
      <c r="B33" s="76">
        <f t="shared" si="10"/>
        <v>2132.9565217391305</v>
      </c>
      <c r="C33" s="79">
        <f t="shared" si="11"/>
        <v>2023.4545454545455</v>
      </c>
      <c r="D33" s="81">
        <f t="shared" si="12"/>
        <v>-109.501976284585</v>
      </c>
      <c r="E33" s="71">
        <f t="shared" si="13"/>
        <v>-0.05133811925772463</v>
      </c>
      <c r="F33" s="76">
        <f t="shared" si="14"/>
        <v>1958.0434782608695</v>
      </c>
      <c r="G33" s="79">
        <f t="shared" si="15"/>
        <v>1974.590909090909</v>
      </c>
      <c r="H33" s="94">
        <f t="shared" si="16"/>
        <v>16.547430830039502</v>
      </c>
      <c r="I33" s="71">
        <f t="shared" si="17"/>
        <v>0.008451002755432632</v>
      </c>
      <c r="J33" s="76">
        <f t="shared" si="18"/>
        <v>312.1304347826087</v>
      </c>
      <c r="K33" s="79">
        <f t="shared" si="19"/>
        <v>326.90909090909093</v>
      </c>
      <c r="L33" s="94">
        <f t="shared" si="20"/>
        <v>14.778656126482247</v>
      </c>
      <c r="M33" s="71">
        <f t="shared" si="21"/>
        <v>0.04734769339867554</v>
      </c>
      <c r="N33" s="76">
        <f t="shared" si="22"/>
        <v>4403.130434782609</v>
      </c>
      <c r="O33" s="79">
        <f t="shared" si="23"/>
        <v>4324.954545454545</v>
      </c>
      <c r="P33" s="94">
        <f t="shared" si="24"/>
        <v>-78.17588932806393</v>
      </c>
      <c r="Q33" s="69">
        <f t="shared" si="25"/>
        <v>-0.017754615832070764</v>
      </c>
      <c r="R33" s="66">
        <f>'BON-NS'!R33</f>
        <v>23</v>
      </c>
      <c r="S33" s="98">
        <v>22</v>
      </c>
      <c r="T33" s="89">
        <f t="shared" si="26"/>
        <v>23</v>
      </c>
      <c r="U33" s="89">
        <f t="shared" si="26"/>
        <v>22</v>
      </c>
    </row>
    <row r="34" spans="1:21" ht="11.25" customHeight="1">
      <c r="A34" s="20" t="s">
        <v>9</v>
      </c>
      <c r="B34" s="75">
        <f t="shared" si="10"/>
      </c>
      <c r="C34" s="78">
        <f t="shared" si="11"/>
      </c>
      <c r="D34" s="74">
        <f t="shared" si="12"/>
      </c>
      <c r="E34" s="70">
        <f t="shared" si="13"/>
      </c>
      <c r="F34" s="75">
        <f t="shared" si="14"/>
      </c>
      <c r="G34" s="78">
        <f t="shared" si="15"/>
      </c>
      <c r="H34" s="93">
        <f t="shared" si="16"/>
      </c>
      <c r="I34" s="70">
        <f t="shared" si="17"/>
      </c>
      <c r="J34" s="75">
        <f t="shared" si="18"/>
      </c>
      <c r="K34" s="78">
        <f t="shared" si="19"/>
      </c>
      <c r="L34" s="93">
        <f t="shared" si="20"/>
      </c>
      <c r="M34" s="70">
        <f t="shared" si="21"/>
      </c>
      <c r="N34" s="75">
        <f t="shared" si="22"/>
      </c>
      <c r="O34" s="78">
        <f t="shared" si="23"/>
      </c>
      <c r="P34" s="93">
        <f t="shared" si="24"/>
      </c>
      <c r="Q34" s="68">
        <f t="shared" si="25"/>
      </c>
      <c r="R34" s="64">
        <f>'BON-NS'!R34</f>
        <v>19</v>
      </c>
      <c r="S34" s="65">
        <v>20</v>
      </c>
      <c r="T34" s="89">
        <f t="shared" si="26"/>
      </c>
      <c r="U34" s="89">
        <f t="shared" si="26"/>
      </c>
    </row>
    <row r="35" spans="1:21" ht="11.25" customHeight="1">
      <c r="A35" s="20" t="s">
        <v>10</v>
      </c>
      <c r="B35" s="75">
        <f t="shared" si="10"/>
      </c>
      <c r="C35" s="78">
        <f t="shared" si="11"/>
      </c>
      <c r="D35" s="74">
        <f t="shared" si="12"/>
      </c>
      <c r="E35" s="70">
        <f t="shared" si="13"/>
      </c>
      <c r="F35" s="75">
        <f t="shared" si="14"/>
      </c>
      <c r="G35" s="78">
        <f t="shared" si="15"/>
      </c>
      <c r="H35" s="93">
        <f t="shared" si="16"/>
      </c>
      <c r="I35" s="70">
        <f t="shared" si="17"/>
      </c>
      <c r="J35" s="75">
        <f t="shared" si="18"/>
      </c>
      <c r="K35" s="78">
        <f t="shared" si="19"/>
      </c>
      <c r="L35" s="93">
        <f t="shared" si="20"/>
      </c>
      <c r="M35" s="70">
        <f t="shared" si="21"/>
      </c>
      <c r="N35" s="75">
        <f t="shared" si="22"/>
      </c>
      <c r="O35" s="78">
        <f t="shared" si="23"/>
      </c>
      <c r="P35" s="93">
        <f t="shared" si="24"/>
      </c>
      <c r="Q35" s="68">
        <f t="shared" si="25"/>
      </c>
      <c r="R35" s="64">
        <f>'BON-NS'!R35</f>
        <v>22</v>
      </c>
      <c r="S35" s="65">
        <v>19</v>
      </c>
      <c r="T35" s="89">
        <f t="shared" si="26"/>
      </c>
      <c r="U35" s="89">
        <f t="shared" si="26"/>
      </c>
    </row>
    <row r="36" spans="1:21" ht="11.25" customHeight="1">
      <c r="A36" s="20" t="s">
        <v>11</v>
      </c>
      <c r="B36" s="76">
        <f t="shared" si="10"/>
      </c>
      <c r="C36" s="79">
        <f t="shared" si="11"/>
      </c>
      <c r="D36" s="81">
        <f t="shared" si="12"/>
      </c>
      <c r="E36" s="71">
        <f t="shared" si="13"/>
      </c>
      <c r="F36" s="76">
        <f t="shared" si="14"/>
      </c>
      <c r="G36" s="79">
        <f t="shared" si="15"/>
      </c>
      <c r="H36" s="94">
        <f t="shared" si="16"/>
      </c>
      <c r="I36" s="71">
        <f t="shared" si="17"/>
      </c>
      <c r="J36" s="76">
        <f t="shared" si="18"/>
      </c>
      <c r="K36" s="79">
        <f t="shared" si="19"/>
      </c>
      <c r="L36" s="94">
        <f t="shared" si="20"/>
      </c>
      <c r="M36" s="71">
        <f t="shared" si="21"/>
      </c>
      <c r="N36" s="76">
        <f t="shared" si="22"/>
      </c>
      <c r="O36" s="79">
        <f t="shared" si="23"/>
      </c>
      <c r="P36" s="94">
        <f t="shared" si="24"/>
      </c>
      <c r="Q36" s="69">
        <f t="shared" si="25"/>
      </c>
      <c r="R36" s="66">
        <f>'BON-NS'!R36</f>
        <v>20</v>
      </c>
      <c r="S36" s="98">
        <v>21</v>
      </c>
      <c r="T36" s="89">
        <f t="shared" si="26"/>
      </c>
      <c r="U36" s="89">
        <f t="shared" si="26"/>
      </c>
    </row>
    <row r="37" spans="1:21" ht="11.25" customHeight="1">
      <c r="A37" s="20" t="s">
        <v>12</v>
      </c>
      <c r="B37" s="75">
        <f t="shared" si="10"/>
      </c>
      <c r="C37" s="78">
        <f t="shared" si="11"/>
      </c>
      <c r="D37" s="74">
        <f t="shared" si="12"/>
      </c>
      <c r="E37" s="70">
        <f t="shared" si="13"/>
      </c>
      <c r="F37" s="75">
        <f t="shared" si="14"/>
      </c>
      <c r="G37" s="78">
        <f t="shared" si="15"/>
      </c>
      <c r="H37" s="93">
        <f t="shared" si="16"/>
      </c>
      <c r="I37" s="70">
        <f t="shared" si="17"/>
      </c>
      <c r="J37" s="75">
        <f t="shared" si="18"/>
      </c>
      <c r="K37" s="78">
        <f t="shared" si="19"/>
      </c>
      <c r="L37" s="93">
        <f t="shared" si="20"/>
      </c>
      <c r="M37" s="70">
        <f t="shared" si="21"/>
      </c>
      <c r="N37" s="75">
        <f t="shared" si="22"/>
      </c>
      <c r="O37" s="78">
        <f t="shared" si="23"/>
      </c>
      <c r="P37" s="93">
        <f t="shared" si="24"/>
      </c>
      <c r="Q37" s="68">
        <f t="shared" si="25"/>
      </c>
      <c r="R37" s="64">
        <f>'BON-NS'!R37</f>
        <v>21</v>
      </c>
      <c r="S37" s="65">
        <v>23</v>
      </c>
      <c r="T37" s="89">
        <f t="shared" si="26"/>
      </c>
      <c r="U37" s="89">
        <f t="shared" si="26"/>
      </c>
    </row>
    <row r="38" spans="1:21" ht="11.25" customHeight="1">
      <c r="A38" s="20" t="s">
        <v>13</v>
      </c>
      <c r="B38" s="75">
        <f t="shared" si="10"/>
      </c>
      <c r="C38" s="78">
        <f t="shared" si="11"/>
      </c>
      <c r="D38" s="74">
        <f t="shared" si="12"/>
      </c>
      <c r="E38" s="70">
        <f t="shared" si="13"/>
      </c>
      <c r="F38" s="75">
        <f t="shared" si="14"/>
      </c>
      <c r="G38" s="78">
        <f t="shared" si="15"/>
      </c>
      <c r="H38" s="93">
        <f t="shared" si="16"/>
      </c>
      <c r="I38" s="70">
        <f t="shared" si="17"/>
      </c>
      <c r="J38" s="75">
        <f t="shared" si="18"/>
      </c>
      <c r="K38" s="78">
        <f t="shared" si="19"/>
      </c>
      <c r="L38" s="93">
        <f t="shared" si="20"/>
      </c>
      <c r="M38" s="70">
        <f t="shared" si="21"/>
      </c>
      <c r="N38" s="75">
        <f t="shared" si="22"/>
      </c>
      <c r="O38" s="78">
        <f t="shared" si="23"/>
      </c>
      <c r="P38" s="93">
        <f t="shared" si="24"/>
      </c>
      <c r="Q38" s="68">
        <f t="shared" si="25"/>
      </c>
      <c r="R38" s="64">
        <f>'BON-NS'!R38</f>
        <v>22</v>
      </c>
      <c r="S38" s="65">
        <v>21</v>
      </c>
      <c r="T38" s="89">
        <f t="shared" si="26"/>
      </c>
      <c r="U38" s="89">
        <f t="shared" si="26"/>
      </c>
    </row>
    <row r="39" spans="1:21" ht="11.25" customHeight="1">
      <c r="A39" s="20" t="s">
        <v>14</v>
      </c>
      <c r="B39" s="76">
        <f t="shared" si="10"/>
      </c>
      <c r="C39" s="79">
        <f t="shared" si="11"/>
      </c>
      <c r="D39" s="81">
        <f t="shared" si="12"/>
      </c>
      <c r="E39" s="71">
        <f t="shared" si="13"/>
      </c>
      <c r="F39" s="76">
        <f t="shared" si="14"/>
      </c>
      <c r="G39" s="79">
        <f t="shared" si="15"/>
      </c>
      <c r="H39" s="94">
        <f t="shared" si="16"/>
      </c>
      <c r="I39" s="71">
        <f t="shared" si="17"/>
      </c>
      <c r="J39" s="76">
        <f t="shared" si="18"/>
      </c>
      <c r="K39" s="79">
        <f t="shared" si="19"/>
      </c>
      <c r="L39" s="94">
        <f t="shared" si="20"/>
      </c>
      <c r="M39" s="71">
        <f t="shared" si="21"/>
      </c>
      <c r="N39" s="76">
        <f t="shared" si="22"/>
      </c>
      <c r="O39" s="79">
        <f t="shared" si="23"/>
      </c>
      <c r="P39" s="94">
        <f t="shared" si="24"/>
      </c>
      <c r="Q39" s="69">
        <f t="shared" si="25"/>
      </c>
      <c r="R39" s="66">
        <f>'BON-NS'!R39</f>
        <v>22</v>
      </c>
      <c r="S39" s="98">
        <v>22</v>
      </c>
      <c r="T39" s="89">
        <f t="shared" si="26"/>
      </c>
      <c r="U39" s="89">
        <f t="shared" si="26"/>
      </c>
    </row>
    <row r="40" spans="1:21" ht="11.25" customHeight="1">
      <c r="A40" s="20" t="s">
        <v>15</v>
      </c>
      <c r="B40" s="75">
        <f t="shared" si="10"/>
      </c>
      <c r="C40" s="78">
        <f t="shared" si="11"/>
      </c>
      <c r="D40" s="74">
        <f t="shared" si="12"/>
      </c>
      <c r="E40" s="70">
        <f t="shared" si="13"/>
      </c>
      <c r="F40" s="75">
        <f t="shared" si="14"/>
      </c>
      <c r="G40" s="78">
        <f t="shared" si="15"/>
      </c>
      <c r="H40" s="93">
        <f t="shared" si="16"/>
      </c>
      <c r="I40" s="70">
        <f t="shared" si="17"/>
      </c>
      <c r="J40" s="75">
        <f t="shared" si="18"/>
      </c>
      <c r="K40" s="78">
        <f t="shared" si="19"/>
      </c>
      <c r="L40" s="93">
        <f t="shared" si="20"/>
      </c>
      <c r="M40" s="70">
        <f t="shared" si="21"/>
      </c>
      <c r="N40" s="75">
        <f t="shared" si="22"/>
      </c>
      <c r="O40" s="78">
        <f t="shared" si="23"/>
      </c>
      <c r="P40" s="93">
        <f t="shared" si="24"/>
      </c>
      <c r="Q40" s="68">
        <f t="shared" si="25"/>
      </c>
      <c r="R40" s="64">
        <f>'BON-NS'!R40</f>
        <v>21</v>
      </c>
      <c r="S40" s="65">
        <v>22</v>
      </c>
      <c r="T40" s="89">
        <f t="shared" si="26"/>
      </c>
      <c r="U40" s="89">
        <f t="shared" si="26"/>
      </c>
    </row>
    <row r="41" spans="1:21" ht="11.25" customHeight="1">
      <c r="A41" s="20" t="s">
        <v>16</v>
      </c>
      <c r="B41" s="75">
        <f t="shared" si="10"/>
      </c>
      <c r="C41" s="78">
        <f t="shared" si="11"/>
      </c>
      <c r="D41" s="74">
        <f t="shared" si="12"/>
      </c>
      <c r="E41" s="70">
        <f t="shared" si="13"/>
      </c>
      <c r="F41" s="75">
        <f t="shared" si="14"/>
      </c>
      <c r="G41" s="78">
        <f t="shared" si="15"/>
      </c>
      <c r="H41" s="93">
        <f t="shared" si="16"/>
      </c>
      <c r="I41" s="70">
        <f t="shared" si="17"/>
      </c>
      <c r="J41" s="75">
        <f t="shared" si="18"/>
      </c>
      <c r="K41" s="78">
        <f t="shared" si="19"/>
      </c>
      <c r="L41" s="93">
        <f t="shared" si="20"/>
      </c>
      <c r="M41" s="70">
        <f t="shared" si="21"/>
      </c>
      <c r="N41" s="75">
        <f t="shared" si="22"/>
      </c>
      <c r="O41" s="78">
        <f t="shared" si="23"/>
      </c>
      <c r="P41" s="93">
        <f t="shared" si="24"/>
      </c>
      <c r="Q41" s="68">
        <f t="shared" si="25"/>
      </c>
      <c r="R41" s="64">
        <f>'BON-NS'!R41</f>
        <v>22</v>
      </c>
      <c r="S41" s="65">
        <v>21</v>
      </c>
      <c r="T41" s="89">
        <f t="shared" si="26"/>
      </c>
      <c r="U41" s="89">
        <f t="shared" si="26"/>
      </c>
    </row>
    <row r="42" spans="1:21" ht="11.25" customHeight="1" thickBot="1">
      <c r="A42" s="20" t="s">
        <v>17</v>
      </c>
      <c r="B42" s="75">
        <f t="shared" si="10"/>
      </c>
      <c r="C42" s="78">
        <f t="shared" si="11"/>
      </c>
      <c r="D42" s="74">
        <f t="shared" si="12"/>
      </c>
      <c r="E42" s="70">
        <f t="shared" si="13"/>
      </c>
      <c r="F42" s="75">
        <f t="shared" si="14"/>
      </c>
      <c r="G42" s="78">
        <f t="shared" si="15"/>
      </c>
      <c r="H42" s="93">
        <f t="shared" si="16"/>
      </c>
      <c r="I42" s="70">
        <f t="shared" si="17"/>
      </c>
      <c r="J42" s="75">
        <f t="shared" si="18"/>
      </c>
      <c r="K42" s="78">
        <f t="shared" si="19"/>
      </c>
      <c r="L42" s="93">
        <f t="shared" si="20"/>
      </c>
      <c r="M42" s="70">
        <f t="shared" si="21"/>
      </c>
      <c r="N42" s="75">
        <f t="shared" si="22"/>
      </c>
      <c r="O42" s="78">
        <f t="shared" si="23"/>
      </c>
      <c r="P42" s="93">
        <f t="shared" si="24"/>
      </c>
      <c r="Q42" s="68">
        <f t="shared" si="25"/>
      </c>
      <c r="R42" s="64">
        <f>'BON-NS'!R42</f>
        <v>21</v>
      </c>
      <c r="S42" s="65">
        <v>22</v>
      </c>
      <c r="T42" s="89">
        <f t="shared" si="26"/>
      </c>
      <c r="U42" s="89">
        <f t="shared" si="26"/>
      </c>
    </row>
    <row r="43" spans="1:21" ht="11.25" customHeight="1" thickBot="1">
      <c r="A43" s="87" t="s">
        <v>29</v>
      </c>
      <c r="B43" s="77">
        <f>AVERAGE(B31:B42)</f>
        <v>1983.628364389234</v>
      </c>
      <c r="C43" s="80">
        <f>IF(C11="","",AVERAGE(C31:C42))</f>
        <v>1899.8927849927852</v>
      </c>
      <c r="D43" s="72">
        <f>IF(D31="","",AVERAGE(D31:D42))</f>
        <v>-83.73557939644888</v>
      </c>
      <c r="E43" s="62">
        <f t="shared" si="13"/>
        <v>-0.04221334041179198</v>
      </c>
      <c r="F43" s="77">
        <f>AVERAGE(F31:F42)</f>
        <v>1947.1113181504486</v>
      </c>
      <c r="G43" s="80">
        <f>IF(G11="","",AVERAGE(G31:G42))</f>
        <v>1908.6541125541125</v>
      </c>
      <c r="H43" s="95">
        <f>IF(H31="","",AVERAGE(H31:H42))</f>
        <v>-38.457205596335974</v>
      </c>
      <c r="I43" s="62">
        <f t="shared" si="17"/>
        <v>-0.019750902394664503</v>
      </c>
      <c r="J43" s="77">
        <f>AVERAGE(J31:J42)</f>
        <v>302.9506211180124</v>
      </c>
      <c r="K43" s="80">
        <f>IF(K11="","",AVERAGE(K31:K42))</f>
        <v>302.44112554112553</v>
      </c>
      <c r="L43" s="95">
        <f>IF(L31="","",AVERAGE(L31:L42))</f>
        <v>-0.5094955768868582</v>
      </c>
      <c r="M43" s="62">
        <f t="shared" si="21"/>
        <v>-0.0016817776276761833</v>
      </c>
      <c r="N43" s="77">
        <f>AVERAGE(N31:N42)</f>
        <v>4233.690303657695</v>
      </c>
      <c r="O43" s="80">
        <f>IF(O11="","",AVERAGE(O31:O42))</f>
        <v>4110.988023088023</v>
      </c>
      <c r="P43" s="95">
        <f>IF(P31="","",AVERAGE(P31:P42))</f>
        <v>-122.70228056967214</v>
      </c>
      <c r="Q43" s="63">
        <f t="shared" si="25"/>
        <v>-0.028982346787072226</v>
      </c>
      <c r="R43" s="67">
        <f>SUM(R31:R42)</f>
        <v>254</v>
      </c>
      <c r="S43" s="99">
        <f>SUM(S31:S42)</f>
        <v>254</v>
      </c>
      <c r="T43" s="89">
        <f>SUM(T31:T42)</f>
        <v>64</v>
      </c>
      <c r="U43" s="88">
        <f>SUM(U31:U42)</f>
        <v>63</v>
      </c>
    </row>
    <row r="44" spans="1:17" s="30" customFormat="1" ht="11.25" customHeight="1">
      <c r="A44" s="86" t="s">
        <v>28</v>
      </c>
      <c r="B44" s="37"/>
      <c r="C44" s="58">
        <f>COUNTIF(C31:C42,"&gt;0")</f>
        <v>3</v>
      </c>
      <c r="D44" s="59"/>
      <c r="E44" s="60"/>
      <c r="F44" s="58"/>
      <c r="G44" s="58">
        <f>COUNTIF(G31:G42,"&gt;0")</f>
        <v>3</v>
      </c>
      <c r="H44" s="59"/>
      <c r="I44" s="60"/>
      <c r="J44" s="58"/>
      <c r="K44" s="58">
        <f>COUNTIF(K31:K42,"&gt;0")</f>
        <v>3</v>
      </c>
      <c r="L44" s="59"/>
      <c r="M44" s="60"/>
      <c r="N44" s="58"/>
      <c r="O44" s="58">
        <f>COUNTIF(O31:O42,"&gt;0")</f>
        <v>3</v>
      </c>
      <c r="P44" s="28"/>
      <c r="Q44" s="55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B26:E27"/>
    <mergeCell ref="B28:E28"/>
    <mergeCell ref="R30:S30"/>
    <mergeCell ref="B8:E8"/>
    <mergeCell ref="D29:E29"/>
    <mergeCell ref="H29:I29"/>
    <mergeCell ref="L29:M29"/>
    <mergeCell ref="P29:Q29"/>
    <mergeCell ref="D9:E9"/>
    <mergeCell ref="H9:I9"/>
    <mergeCell ref="F28:I28"/>
    <mergeCell ref="J28:M28"/>
    <mergeCell ref="N28:Q28"/>
    <mergeCell ref="P9:Q9"/>
    <mergeCell ref="L9:M9"/>
    <mergeCell ref="F8:I8"/>
    <mergeCell ref="B2:E2"/>
    <mergeCell ref="D3:E3"/>
    <mergeCell ref="B3:C3"/>
    <mergeCell ref="B6:E7"/>
    <mergeCell ref="J8:M8"/>
    <mergeCell ref="N8:Q8"/>
  </mergeCells>
  <conditionalFormatting sqref="S31:S43">
    <cfRule type="expression" priority="1" dxfId="3" stopIfTrue="1">
      <formula>S31&lt;$R31</formula>
    </cfRule>
    <cfRule type="expression" priority="2" dxfId="2" stopIfTrue="1">
      <formula>S31&gt;$R31</formula>
    </cfRule>
  </conditionalFormatting>
  <conditionalFormatting sqref="B14:B21 F12:F22 J12:J22 N12:N22">
    <cfRule type="expression" priority="3" dxfId="0" stopIfTrue="1">
      <formula>C12=""</formula>
    </cfRule>
  </conditionalFormatting>
  <conditionalFormatting sqref="B22 B12:B13">
    <cfRule type="expression" priority="4" dxfId="0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Zollkreisdirektion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subject/>
  <dc:creator>Kerstin Matthusen</dc:creator>
  <cp:keywords/>
  <dc:description>Jahre 2006 2007</dc:description>
  <cp:lastModifiedBy>Vögeli Aurelia (HKBB)</cp:lastModifiedBy>
  <cp:lastPrinted>2012-04-12T05:11:55Z</cp:lastPrinted>
  <dcterms:created xsi:type="dcterms:W3CDTF">2001-04-11T08:03:28Z</dcterms:created>
  <dcterms:modified xsi:type="dcterms:W3CDTF">2012-04-13T08:02:17Z</dcterms:modified>
  <cp:category/>
  <cp:version/>
  <cp:contentType/>
  <cp:contentStatus/>
</cp:coreProperties>
</file>